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comments6.xml" ContentType="application/vnd.openxmlformats-officedocument.spreadsheetml.comments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comments7.xml" ContentType="application/vnd.openxmlformats-officedocument.spreadsheetml.comments+xml"/>
  <Override PartName="/xl/tables/table10.xml" ContentType="application/vnd.openxmlformats-officedocument.spreadsheetml.table+xml"/>
  <Override PartName="/xl/comments8.xml" ContentType="application/vnd.openxmlformats-officedocument.spreadsheetml.comment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d.docs.live.net/f7f735bba65a02d8/Beregnersystemer/"/>
    </mc:Choice>
  </mc:AlternateContent>
  <xr:revisionPtr revIDLastSave="40" documentId="8_{435B48BB-22C5-4309-8CEC-1F4AFF9971D8}" xr6:coauthVersionLast="47" xr6:coauthVersionMax="47" xr10:uidLastSave="{ADAA9873-7CE2-4088-B75F-109980AD72B9}"/>
  <bookViews>
    <workbookView xWindow="-110" yWindow="-110" windowWidth="38620" windowHeight="21220" tabRatio="678" firstSheet="4" activeTab="13" xr2:uid="{CDE1ACC8-D1B7-4EE9-B645-99CD716B52DE}"/>
  </bookViews>
  <sheets>
    <sheet name="Vejledning tilføj data" sheetId="22" r:id="rId1"/>
    <sheet name="Data samling svejsning" sheetId="16" r:id="rId2"/>
    <sheet name="Svejse Effekforbrug Graf" sheetId="11" r:id="rId3"/>
    <sheet name="Kemppi Promig 530 - Pro 3200 ev" sheetId="1" r:id="rId4"/>
    <sheet name="Kemppi Master M205" sheetId="2" r:id="rId5"/>
    <sheet name="TIG-Migatronic PI 250" sheetId="9" r:id="rId6"/>
    <sheet name="Kemppi MasterTig 235" sheetId="12" r:id="rId7"/>
    <sheet name="Ark2" sheetId="10" r:id="rId8"/>
    <sheet name="Ark3" sheetId="13" r:id="rId9"/>
    <sheet name="Hypotherm Powermax 105" sheetId="17" r:id="rId10"/>
    <sheet name="HM WKS 125050" sheetId="18" r:id="rId11"/>
    <sheet name="Laserskærer" sheetId="21" r:id="rId12"/>
    <sheet name="HydKlip HMS 30.06" sheetId="19" r:id="rId13"/>
    <sheet name="Beregner og nøgletal Wh pr mm" sheetId="20" r:id="rId14"/>
  </sheets>
  <definedNames>
    <definedName name="Elektrode">Tabel14[Elektrode]</definedName>
    <definedName name="ElektrodeKemppiMasterTig235">Tabel16[ElektrodeKemppiMasterTig235]</definedName>
    <definedName name="ElektrodeMigatronicPI250">Tabel16[ElektrodeMigatronicPI250]</definedName>
    <definedName name="Elektromekanisk_pladesaks">Tabel13[Elektromekanisk_pladesaks]</definedName>
    <definedName name="Hydraulisk_pladesaks">Tabel13[Hydraulisk_pladesaks]</definedName>
    <definedName name="Laserskærer">Tabel13[Laserskærer]</definedName>
    <definedName name="MAG">Tabel13[MAG]</definedName>
    <definedName name="MAGMassivTråd">Tabel14[MAGMassivTråd]</definedName>
    <definedName name="MAGMassivTrådKemppiMasterM205">Tabel16[MAGMassivTrådKemppiMasterM205]</definedName>
    <definedName name="MAGMassivTrådKemppiPromig530Pro3200ev">Tabel16[MAGMassivTrådKemppiPromig530Pro3200ev]</definedName>
    <definedName name="MMA">Tabel13[MMA]</definedName>
    <definedName name="Pladeafkortning">Tabel10[Pladeafkortning]</definedName>
    <definedName name="Plasmaskærer">Tabel13[Plasmaskærer]</definedName>
    <definedName name="procesberegner">'Beregner og nøgletal Wh pr mm'!$F$1:$L$17</definedName>
    <definedName name="procespyramide">'Beregner og nøgletal Wh pr mm'!$G$2:$K$16</definedName>
    <definedName name="Svejsning">Tabel10[Svejsning]</definedName>
    <definedName name="TIG">Tabel13[TIG]</definedName>
    <definedName name="TIGKemppiMasterTig235">Tabel16[TIGKemppiMasterTig235]</definedName>
    <definedName name="TIGMigatronicPI250">Tabel16[TIGMigatronicPI250]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20" l="1" a="1"/>
  <c r="K5" i="20" s="1"/>
  <c r="K6" i="20" a="1"/>
  <c r="K6" i="20" s="1"/>
  <c r="K7" i="20" a="1"/>
  <c r="K7" i="20" s="1"/>
  <c r="K8" i="20" a="1"/>
  <c r="K8" i="20" s="1"/>
  <c r="K9" i="20" a="1"/>
  <c r="K9" i="20" s="1"/>
  <c r="K10" i="20" a="1"/>
  <c r="K10" i="20" s="1"/>
  <c r="K11" i="20" a="1"/>
  <c r="K11" i="20" s="1"/>
  <c r="K12" i="20" a="1"/>
  <c r="K12" i="20" s="1"/>
  <c r="K13" i="20" a="1"/>
  <c r="K13" i="20" s="1"/>
  <c r="K14" i="20" a="1"/>
  <c r="K14" i="20" s="1"/>
  <c r="D20" i="20"/>
  <c r="D19" i="20"/>
  <c r="K4" i="20" s="1" a="1"/>
  <c r="K4" i="20" s="1"/>
  <c r="D18" i="20"/>
  <c r="J12" i="21"/>
  <c r="J7" i="21"/>
  <c r="J2" i="21"/>
  <c r="H40" i="19"/>
  <c r="H26" i="19"/>
  <c r="H12" i="19"/>
  <c r="D17" i="20"/>
  <c r="D16" i="20"/>
  <c r="D15" i="20"/>
  <c r="D14" i="20"/>
  <c r="H44" i="19"/>
  <c r="H30" i="19"/>
  <c r="H16" i="19"/>
  <c r="D19" i="18"/>
  <c r="D18" i="18"/>
  <c r="D13" i="20"/>
  <c r="D12" i="20"/>
  <c r="D11" i="20"/>
  <c r="D10" i="20"/>
  <c r="D8" i="20"/>
  <c r="D6" i="20"/>
  <c r="D7" i="20"/>
  <c r="D5" i="20"/>
  <c r="D4" i="20"/>
  <c r="D15" i="17"/>
  <c r="D16" i="17" s="1"/>
  <c r="D9" i="17"/>
  <c r="D10" i="17" s="1"/>
  <c r="D5" i="17"/>
  <c r="D6" i="17" s="1"/>
  <c r="D51" i="18"/>
  <c r="D52" i="18" s="1"/>
  <c r="D34" i="18"/>
  <c r="D17" i="18"/>
  <c r="D16" i="18"/>
  <c r="D15" i="18"/>
  <c r="D14" i="18"/>
  <c r="D13" i="18"/>
  <c r="D12" i="18"/>
  <c r="D11" i="18"/>
  <c r="D10" i="18"/>
  <c r="D9" i="18"/>
  <c r="D8" i="18"/>
  <c r="D6" i="18"/>
  <c r="D35" i="18"/>
  <c r="X48" i="16"/>
  <c r="W48" i="16"/>
  <c r="U48" i="16"/>
  <c r="T48" i="16"/>
  <c r="R48" i="16"/>
  <c r="S48" i="16" s="1"/>
  <c r="R66" i="16"/>
  <c r="S66" i="16" s="1"/>
  <c r="T66" i="16"/>
  <c r="V66" i="16"/>
  <c r="W66" i="16" s="1"/>
  <c r="V65" i="16"/>
  <c r="W65" i="16" s="1"/>
  <c r="X65" i="16" s="1"/>
  <c r="U65" i="16"/>
  <c r="V64" i="16"/>
  <c r="W64" i="16" s="1"/>
  <c r="X64" i="16" s="1"/>
  <c r="U64" i="16"/>
  <c r="V63" i="16"/>
  <c r="W63" i="16" s="1"/>
  <c r="X63" i="16" s="1"/>
  <c r="U63" i="16"/>
  <c r="V62" i="16"/>
  <c r="W62" i="16" s="1"/>
  <c r="X62" i="16" s="1"/>
  <c r="U62" i="16"/>
  <c r="V61" i="16"/>
  <c r="W61" i="16" s="1"/>
  <c r="X61" i="16" s="1"/>
  <c r="U61" i="16"/>
  <c r="S65" i="16"/>
  <c r="S64" i="16"/>
  <c r="S63" i="16"/>
  <c r="S62" i="16"/>
  <c r="S61" i="16"/>
  <c r="V47" i="16"/>
  <c r="W47" i="16" s="1"/>
  <c r="X47" i="16" s="1"/>
  <c r="V46" i="16"/>
  <c r="W46" i="16" s="1"/>
  <c r="X46" i="16" s="1"/>
  <c r="V45" i="16"/>
  <c r="W45" i="16" s="1"/>
  <c r="X45" i="16" s="1"/>
  <c r="V44" i="16"/>
  <c r="W44" i="16" s="1"/>
  <c r="X44" i="16" s="1"/>
  <c r="V43" i="16"/>
  <c r="W43" i="16" s="1"/>
  <c r="X43" i="16" s="1"/>
  <c r="S47" i="16"/>
  <c r="S46" i="16"/>
  <c r="S45" i="16"/>
  <c r="S44" i="16"/>
  <c r="S43" i="16"/>
  <c r="U47" i="16"/>
  <c r="U46" i="16"/>
  <c r="U45" i="16"/>
  <c r="U44" i="16"/>
  <c r="U43" i="16"/>
  <c r="R42" i="16"/>
  <c r="S42" i="16" s="1"/>
  <c r="T42" i="16"/>
  <c r="V42" i="16"/>
  <c r="W42" i="16" s="1"/>
  <c r="S49" i="16"/>
  <c r="U49" i="16"/>
  <c r="V49" i="16"/>
  <c r="W49" i="16" s="1"/>
  <c r="X49" i="16" s="1"/>
  <c r="S50" i="16"/>
  <c r="U50" i="16"/>
  <c r="V50" i="16"/>
  <c r="W50" i="16" s="1"/>
  <c r="X50" i="16" s="1"/>
  <c r="S51" i="16"/>
  <c r="U51" i="16"/>
  <c r="V51" i="16"/>
  <c r="W51" i="16" s="1"/>
  <c r="X51" i="16" s="1"/>
  <c r="S52" i="16"/>
  <c r="U52" i="16"/>
  <c r="V52" i="16"/>
  <c r="W52" i="16" s="1"/>
  <c r="X52" i="16" s="1"/>
  <c r="S53" i="16"/>
  <c r="U53" i="16"/>
  <c r="V53" i="16"/>
  <c r="W53" i="16" s="1"/>
  <c r="X53" i="16" s="1"/>
  <c r="S5" i="12"/>
  <c r="S6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Q18" i="12"/>
  <c r="P18" i="12"/>
  <c r="O18" i="12"/>
  <c r="R17" i="12"/>
  <c r="R16" i="12"/>
  <c r="R18" i="12" s="1"/>
  <c r="P16" i="12"/>
  <c r="R15" i="12"/>
  <c r="P15" i="12"/>
  <c r="R14" i="12"/>
  <c r="P14" i="12"/>
  <c r="R13" i="12"/>
  <c r="P13" i="12"/>
  <c r="S17" i="9"/>
  <c r="Q17" i="9"/>
  <c r="O17" i="9"/>
  <c r="S16" i="9"/>
  <c r="R16" i="9"/>
  <c r="P16" i="9"/>
  <c r="S15" i="9"/>
  <c r="R15" i="9"/>
  <c r="R17" i="9" s="1"/>
  <c r="P15" i="9"/>
  <c r="S14" i="9"/>
  <c r="R14" i="9"/>
  <c r="P14" i="9"/>
  <c r="S13" i="9"/>
  <c r="R13" i="9"/>
  <c r="P13" i="9"/>
  <c r="S12" i="9"/>
  <c r="R12" i="9"/>
  <c r="P12" i="9"/>
  <c r="V60" i="16"/>
  <c r="W60" i="16" s="1"/>
  <c r="T60" i="16"/>
  <c r="R60" i="16"/>
  <c r="S60" i="16" s="1"/>
  <c r="V41" i="16"/>
  <c r="W41" i="16" s="1"/>
  <c r="X41" i="16" s="1"/>
  <c r="U41" i="16"/>
  <c r="S41" i="16"/>
  <c r="V40" i="16"/>
  <c r="W40" i="16" s="1"/>
  <c r="X40" i="16" s="1"/>
  <c r="U40" i="16"/>
  <c r="S40" i="16"/>
  <c r="V39" i="16"/>
  <c r="W39" i="16" s="1"/>
  <c r="X39" i="16" s="1"/>
  <c r="U39" i="16"/>
  <c r="S39" i="16"/>
  <c r="V38" i="16"/>
  <c r="W38" i="16" s="1"/>
  <c r="X38" i="16" s="1"/>
  <c r="U38" i="16"/>
  <c r="S38" i="16"/>
  <c r="V37" i="16"/>
  <c r="W37" i="16" s="1"/>
  <c r="X37" i="16" s="1"/>
  <c r="U37" i="16"/>
  <c r="S37" i="16"/>
  <c r="V59" i="16"/>
  <c r="W59" i="16" s="1"/>
  <c r="X59" i="16" s="1"/>
  <c r="U59" i="16"/>
  <c r="V58" i="16"/>
  <c r="W58" i="16" s="1"/>
  <c r="X58" i="16" s="1"/>
  <c r="U58" i="16"/>
  <c r="V57" i="16"/>
  <c r="W57" i="16" s="1"/>
  <c r="X57" i="16" s="1"/>
  <c r="U57" i="16"/>
  <c r="V56" i="16"/>
  <c r="W56" i="16" s="1"/>
  <c r="X56" i="16" s="1"/>
  <c r="U56" i="16"/>
  <c r="V55" i="16"/>
  <c r="W55" i="16" s="1"/>
  <c r="X55" i="16" s="1"/>
  <c r="U55" i="16"/>
  <c r="S59" i="16"/>
  <c r="S58" i="16"/>
  <c r="S57" i="16"/>
  <c r="S56" i="16"/>
  <c r="G34" i="11"/>
  <c r="G33" i="11"/>
  <c r="G32" i="11"/>
  <c r="S89" i="16"/>
  <c r="S88" i="16"/>
  <c r="S87" i="16"/>
  <c r="S86" i="16"/>
  <c r="S85" i="16"/>
  <c r="S84" i="16"/>
  <c r="S83" i="16"/>
  <c r="S82" i="16"/>
  <c r="S81" i="16"/>
  <c r="S80" i="16"/>
  <c r="S79" i="16"/>
  <c r="S78" i="16"/>
  <c r="S77" i="16"/>
  <c r="S76" i="16"/>
  <c r="S75" i="16"/>
  <c r="S74" i="16"/>
  <c r="S73" i="16"/>
  <c r="S72" i="16"/>
  <c r="S71" i="16"/>
  <c r="S70" i="16"/>
  <c r="S69" i="16"/>
  <c r="S68" i="16"/>
  <c r="S67" i="16"/>
  <c r="S55" i="16"/>
  <c r="S35" i="16"/>
  <c r="S34" i="16"/>
  <c r="S33" i="16"/>
  <c r="S32" i="16"/>
  <c r="S31" i="16"/>
  <c r="S30" i="16"/>
  <c r="S28" i="16"/>
  <c r="S27" i="16"/>
  <c r="S26" i="16"/>
  <c r="S25" i="16"/>
  <c r="S24" i="16"/>
  <c r="S22" i="16"/>
  <c r="S21" i="16"/>
  <c r="S20" i="16"/>
  <c r="S19" i="16"/>
  <c r="S18" i="16"/>
  <c r="S16" i="16"/>
  <c r="S15" i="16"/>
  <c r="S14" i="16"/>
  <c r="S13" i="16"/>
  <c r="S12" i="16"/>
  <c r="S10" i="16"/>
  <c r="S9" i="16"/>
  <c r="S8" i="16"/>
  <c r="S7" i="16"/>
  <c r="S6" i="16"/>
  <c r="S5" i="16"/>
  <c r="S4" i="16"/>
  <c r="P10" i="1"/>
  <c r="P7" i="12"/>
  <c r="P8" i="12"/>
  <c r="P9" i="12"/>
  <c r="P10" i="12"/>
  <c r="P11" i="12"/>
  <c r="P12" i="12"/>
  <c r="P5" i="9"/>
  <c r="P13" i="2" s="1"/>
  <c r="P6" i="9"/>
  <c r="P7" i="9"/>
  <c r="P8" i="9"/>
  <c r="P9" i="9"/>
  <c r="P10" i="9"/>
  <c r="P6" i="2"/>
  <c r="P5" i="2"/>
  <c r="P7" i="2"/>
  <c r="P8" i="2"/>
  <c r="P9" i="2"/>
  <c r="P11" i="2"/>
  <c r="P12" i="2"/>
  <c r="P14" i="2"/>
  <c r="P15" i="2"/>
  <c r="P16" i="2"/>
  <c r="P5" i="1"/>
  <c r="P6" i="1"/>
  <c r="P7" i="1"/>
  <c r="P8" i="1"/>
  <c r="P9" i="1"/>
  <c r="P11" i="1"/>
  <c r="P14" i="1"/>
  <c r="P15" i="1"/>
  <c r="P16" i="1"/>
  <c r="P17" i="1"/>
  <c r="P18" i="1"/>
  <c r="P19" i="1"/>
  <c r="V9" i="16"/>
  <c r="W9" i="16" s="1"/>
  <c r="X9" i="16" s="1"/>
  <c r="V10" i="16"/>
  <c r="W10" i="16" s="1"/>
  <c r="X10" i="16" s="1"/>
  <c r="V11" i="16"/>
  <c r="W11" i="16" s="1"/>
  <c r="V12" i="16"/>
  <c r="W12" i="16" s="1"/>
  <c r="X12" i="16" s="1"/>
  <c r="V13" i="16"/>
  <c r="W13" i="16" s="1"/>
  <c r="X13" i="16" s="1"/>
  <c r="V14" i="16"/>
  <c r="W14" i="16" s="1"/>
  <c r="X14" i="16" s="1"/>
  <c r="V15" i="16"/>
  <c r="W15" i="16" s="1"/>
  <c r="X15" i="16" s="1"/>
  <c r="V16" i="16"/>
  <c r="W16" i="16" s="1"/>
  <c r="X16" i="16" s="1"/>
  <c r="V17" i="16"/>
  <c r="W17" i="16" s="1"/>
  <c r="V8" i="16"/>
  <c r="W8" i="16" s="1"/>
  <c r="X8" i="16" s="1"/>
  <c r="V7" i="16"/>
  <c r="W7" i="16" s="1"/>
  <c r="X7" i="16" s="1"/>
  <c r="V6" i="16"/>
  <c r="W6" i="16" s="1"/>
  <c r="X6" i="16" s="1"/>
  <c r="V54" i="16"/>
  <c r="W54" i="16" s="1"/>
  <c r="T54" i="16"/>
  <c r="R54" i="16"/>
  <c r="S54" i="16" s="1"/>
  <c r="V21" i="16"/>
  <c r="W21" i="16" s="1"/>
  <c r="V22" i="16"/>
  <c r="W22" i="16" s="1"/>
  <c r="X22" i="16" s="1"/>
  <c r="V23" i="16"/>
  <c r="W23" i="16" s="1"/>
  <c r="V24" i="16"/>
  <c r="W24" i="16" s="1"/>
  <c r="X24" i="16" s="1"/>
  <c r="V25" i="16"/>
  <c r="W25" i="16" s="1"/>
  <c r="X25" i="16" s="1"/>
  <c r="V26" i="16"/>
  <c r="W26" i="16" s="1"/>
  <c r="X26" i="16" s="1"/>
  <c r="V27" i="16"/>
  <c r="W27" i="16" s="1"/>
  <c r="X27" i="16" s="1"/>
  <c r="V28" i="16"/>
  <c r="V29" i="16"/>
  <c r="W29" i="16" s="1"/>
  <c r="V30" i="16"/>
  <c r="W30" i="16" s="1"/>
  <c r="X30" i="16" s="1"/>
  <c r="V31" i="16"/>
  <c r="W31" i="16" s="1"/>
  <c r="X31" i="16" s="1"/>
  <c r="V32" i="16"/>
  <c r="W32" i="16" s="1"/>
  <c r="V33" i="16"/>
  <c r="W33" i="16" s="1"/>
  <c r="X33" i="16" s="1"/>
  <c r="V34" i="16"/>
  <c r="W34" i="16" s="1"/>
  <c r="X34" i="16" s="1"/>
  <c r="V35" i="16"/>
  <c r="W35" i="16" s="1"/>
  <c r="X35" i="16" s="1"/>
  <c r="V36" i="16"/>
  <c r="W36" i="16" s="1"/>
  <c r="V20" i="16"/>
  <c r="W20" i="16" s="1"/>
  <c r="X20" i="16" s="1"/>
  <c r="V19" i="16"/>
  <c r="W19" i="16" s="1"/>
  <c r="X19" i="16" s="1"/>
  <c r="V18" i="16"/>
  <c r="W18" i="16" s="1"/>
  <c r="X18" i="16" s="1"/>
  <c r="T29" i="16"/>
  <c r="R29" i="16"/>
  <c r="S29" i="16" s="1"/>
  <c r="U28" i="16"/>
  <c r="U27" i="16"/>
  <c r="U26" i="16"/>
  <c r="U25" i="16"/>
  <c r="U24" i="16"/>
  <c r="T23" i="16"/>
  <c r="R23" i="16"/>
  <c r="S23" i="16" s="1"/>
  <c r="U22" i="16"/>
  <c r="U21" i="16"/>
  <c r="U20" i="16"/>
  <c r="U19" i="16"/>
  <c r="U18" i="16"/>
  <c r="T36" i="16"/>
  <c r="R36" i="16"/>
  <c r="S36" i="16" s="1"/>
  <c r="U35" i="16"/>
  <c r="U34" i="16"/>
  <c r="U33" i="16"/>
  <c r="U32" i="16"/>
  <c r="U31" i="16"/>
  <c r="U30" i="16"/>
  <c r="S11" i="9"/>
  <c r="T11" i="9" s="1"/>
  <c r="Q11" i="9"/>
  <c r="T17" i="16"/>
  <c r="R17" i="16"/>
  <c r="S17" i="16" s="1"/>
  <c r="U16" i="16"/>
  <c r="U15" i="16"/>
  <c r="U14" i="16"/>
  <c r="U13" i="16"/>
  <c r="U12" i="16"/>
  <c r="T11" i="16"/>
  <c r="R11" i="16"/>
  <c r="S11" i="16" s="1"/>
  <c r="U10" i="16"/>
  <c r="U9" i="16"/>
  <c r="U8" i="16"/>
  <c r="U7" i="16"/>
  <c r="U6" i="16"/>
  <c r="V5" i="16"/>
  <c r="T5" i="12" s="1"/>
  <c r="U5" i="12" s="1"/>
  <c r="U5" i="16"/>
  <c r="X4" i="16"/>
  <c r="W4" i="16"/>
  <c r="V4" i="16"/>
  <c r="S19" i="9"/>
  <c r="O11" i="9"/>
  <c r="P11" i="9" s="1"/>
  <c r="S10" i="9"/>
  <c r="T10" i="9" s="1"/>
  <c r="U10" i="9" s="1"/>
  <c r="R10" i="9"/>
  <c r="S9" i="9"/>
  <c r="T9" i="9" s="1"/>
  <c r="U9" i="9" s="1"/>
  <c r="R9" i="9"/>
  <c r="S8" i="9"/>
  <c r="T8" i="9" s="1"/>
  <c r="U8" i="9" s="1"/>
  <c r="R8" i="9"/>
  <c r="R19" i="13"/>
  <c r="S19" i="13" s="1"/>
  <c r="P19" i="13"/>
  <c r="O19" i="13"/>
  <c r="R18" i="13"/>
  <c r="S18" i="13" s="1"/>
  <c r="T18" i="13" s="1"/>
  <c r="Q18" i="13"/>
  <c r="R17" i="13"/>
  <c r="S17" i="13" s="1"/>
  <c r="T17" i="13" s="1"/>
  <c r="Q17" i="13"/>
  <c r="R16" i="13"/>
  <c r="S16" i="13" s="1"/>
  <c r="T16" i="13" s="1"/>
  <c r="Q16" i="13"/>
  <c r="S15" i="13"/>
  <c r="T15" i="13" s="1"/>
  <c r="R15" i="13"/>
  <c r="Q15" i="13"/>
  <c r="R14" i="13"/>
  <c r="S14" i="13" s="1"/>
  <c r="T14" i="13" s="1"/>
  <c r="Q14" i="13"/>
  <c r="Q19" i="13" s="1"/>
  <c r="R13" i="13"/>
  <c r="S13" i="13" s="1"/>
  <c r="R12" i="13"/>
  <c r="S12" i="13" s="1"/>
  <c r="P12" i="13"/>
  <c r="O12" i="13"/>
  <c r="T12" i="13" s="1"/>
  <c r="R11" i="13"/>
  <c r="S11" i="13" s="1"/>
  <c r="T11" i="13" s="1"/>
  <c r="Q11" i="13"/>
  <c r="S10" i="13"/>
  <c r="T10" i="13" s="1"/>
  <c r="R10" i="13"/>
  <c r="Q10" i="13"/>
  <c r="R9" i="13"/>
  <c r="S9" i="13" s="1"/>
  <c r="T9" i="13" s="1"/>
  <c r="Q9" i="13"/>
  <c r="R8" i="13"/>
  <c r="S8" i="13" s="1"/>
  <c r="T8" i="13" s="1"/>
  <c r="Q8" i="13"/>
  <c r="R7" i="13"/>
  <c r="S7" i="13" s="1"/>
  <c r="T7" i="13" s="1"/>
  <c r="Q7" i="13"/>
  <c r="Q12" i="13" s="1"/>
  <c r="R6" i="13"/>
  <c r="S6" i="13" s="1"/>
  <c r="T6" i="13" s="1"/>
  <c r="Q6" i="13"/>
  <c r="S5" i="13"/>
  <c r="T5" i="13" s="1"/>
  <c r="R5" i="13"/>
  <c r="Q12" i="12"/>
  <c r="O12" i="12"/>
  <c r="R11" i="12"/>
  <c r="R10" i="12"/>
  <c r="R9" i="12"/>
  <c r="R8" i="12"/>
  <c r="R7" i="12"/>
  <c r="R6" i="12"/>
  <c r="R19" i="10"/>
  <c r="S19" i="10" s="1"/>
  <c r="P19" i="10"/>
  <c r="O19" i="10"/>
  <c r="S18" i="10"/>
  <c r="T18" i="10" s="1"/>
  <c r="R18" i="10"/>
  <c r="Q18" i="10"/>
  <c r="R17" i="10"/>
  <c r="S17" i="10" s="1"/>
  <c r="T17" i="10" s="1"/>
  <c r="Q17" i="10"/>
  <c r="R16" i="10"/>
  <c r="S16" i="10" s="1"/>
  <c r="T16" i="10" s="1"/>
  <c r="Q16" i="10"/>
  <c r="S15" i="10"/>
  <c r="T15" i="10" s="1"/>
  <c r="R15" i="10"/>
  <c r="Q15" i="10"/>
  <c r="R14" i="10"/>
  <c r="S14" i="10" s="1"/>
  <c r="T14" i="10" s="1"/>
  <c r="Q14" i="10"/>
  <c r="R13" i="10"/>
  <c r="S13" i="10" s="1"/>
  <c r="R12" i="10"/>
  <c r="S12" i="10" s="1"/>
  <c r="P12" i="10"/>
  <c r="O12" i="10"/>
  <c r="R11" i="10"/>
  <c r="S11" i="10" s="1"/>
  <c r="T11" i="10" s="1"/>
  <c r="Q11" i="10"/>
  <c r="S10" i="10"/>
  <c r="T10" i="10" s="1"/>
  <c r="R10" i="10"/>
  <c r="Q10" i="10"/>
  <c r="R9" i="10"/>
  <c r="S9" i="10" s="1"/>
  <c r="T9" i="10" s="1"/>
  <c r="Q9" i="10"/>
  <c r="S8" i="10"/>
  <c r="T8" i="10" s="1"/>
  <c r="R8" i="10"/>
  <c r="Q8" i="10"/>
  <c r="R7" i="10"/>
  <c r="S7" i="10" s="1"/>
  <c r="T7" i="10" s="1"/>
  <c r="Q7" i="10"/>
  <c r="R6" i="10"/>
  <c r="S6" i="10" s="1"/>
  <c r="T6" i="10" s="1"/>
  <c r="Q6" i="10"/>
  <c r="S5" i="10"/>
  <c r="T5" i="10" s="1"/>
  <c r="R5" i="10"/>
  <c r="S7" i="9"/>
  <c r="T7" i="9" s="1"/>
  <c r="U7" i="9" s="1"/>
  <c r="S6" i="9"/>
  <c r="T6" i="9" s="1"/>
  <c r="U6" i="9" s="1"/>
  <c r="S5" i="9"/>
  <c r="T5" i="9" s="1"/>
  <c r="U5" i="9" s="1"/>
  <c r="S5" i="2"/>
  <c r="T5" i="2" s="1"/>
  <c r="U5" i="2" s="1"/>
  <c r="S6" i="2"/>
  <c r="T6" i="2" s="1"/>
  <c r="U6" i="2" s="1"/>
  <c r="S7" i="2"/>
  <c r="T7" i="2" s="1"/>
  <c r="U7" i="2" s="1"/>
  <c r="S8" i="2"/>
  <c r="T8" i="2" s="1"/>
  <c r="U8" i="2" s="1"/>
  <c r="S9" i="2"/>
  <c r="T9" i="2" s="1"/>
  <c r="U9" i="2" s="1"/>
  <c r="S10" i="2"/>
  <c r="T10" i="2" s="1"/>
  <c r="S11" i="2"/>
  <c r="T11" i="2" s="1"/>
  <c r="U11" i="2" s="1"/>
  <c r="S12" i="2"/>
  <c r="T12" i="2" s="1"/>
  <c r="U12" i="2" s="1"/>
  <c r="S13" i="2"/>
  <c r="T13" i="2" s="1"/>
  <c r="U13" i="2" s="1"/>
  <c r="S14" i="2"/>
  <c r="S15" i="2"/>
  <c r="S16" i="2"/>
  <c r="T16" i="2" s="1"/>
  <c r="S5" i="1"/>
  <c r="W5" i="16" s="1"/>
  <c r="S8" i="1"/>
  <c r="T8" i="1" s="1"/>
  <c r="T17" i="1"/>
  <c r="U17" i="1" s="1"/>
  <c r="S6" i="1"/>
  <c r="T6" i="1" s="1"/>
  <c r="U6" i="1" s="1"/>
  <c r="S7" i="1"/>
  <c r="T7" i="1" s="1"/>
  <c r="U7" i="1" s="1"/>
  <c r="S9" i="1"/>
  <c r="T9" i="1" s="1"/>
  <c r="U9" i="1" s="1"/>
  <c r="S10" i="1"/>
  <c r="T10" i="1" s="1"/>
  <c r="U10" i="1" s="1"/>
  <c r="S11" i="1"/>
  <c r="T11" i="1" s="1"/>
  <c r="U11" i="1" s="1"/>
  <c r="S12" i="1"/>
  <c r="T12" i="1" s="1"/>
  <c r="S13" i="1"/>
  <c r="T13" i="1" s="1"/>
  <c r="S14" i="1"/>
  <c r="T14" i="1" s="1"/>
  <c r="U14" i="1" s="1"/>
  <c r="S15" i="1"/>
  <c r="T15" i="1" s="1"/>
  <c r="U15" i="1" s="1"/>
  <c r="S16" i="1"/>
  <c r="T16" i="1" s="1"/>
  <c r="U16" i="1" s="1"/>
  <c r="S17" i="1"/>
  <c r="S18" i="1"/>
  <c r="T18" i="1" s="1"/>
  <c r="U18" i="1" s="1"/>
  <c r="S19" i="1"/>
  <c r="T19" i="9" s="1"/>
  <c r="C33" i="1"/>
  <c r="C34" i="1" s="1"/>
  <c r="E25" i="1"/>
  <c r="D25" i="1"/>
  <c r="E23" i="1"/>
  <c r="E24" i="1"/>
  <c r="D23" i="1"/>
  <c r="D24" i="1"/>
  <c r="R7" i="9"/>
  <c r="R6" i="9"/>
  <c r="R5" i="9"/>
  <c r="Q16" i="2"/>
  <c r="O16" i="2"/>
  <c r="R15" i="2"/>
  <c r="R14" i="2"/>
  <c r="R13" i="2"/>
  <c r="R12" i="2"/>
  <c r="R11" i="2"/>
  <c r="Q19" i="1"/>
  <c r="O19" i="1"/>
  <c r="Q12" i="1"/>
  <c r="O12" i="1"/>
  <c r="P12" i="1" s="1"/>
  <c r="Q10" i="2"/>
  <c r="O10" i="2"/>
  <c r="P10" i="2" s="1"/>
  <c r="R9" i="2"/>
  <c r="R8" i="2"/>
  <c r="R7" i="2"/>
  <c r="R6" i="2"/>
  <c r="R5" i="2"/>
  <c r="R18" i="1"/>
  <c r="R17" i="1"/>
  <c r="R16" i="1"/>
  <c r="R15" i="1"/>
  <c r="R14" i="1"/>
  <c r="R11" i="1"/>
  <c r="R10" i="1"/>
  <c r="R9" i="1"/>
  <c r="R8" i="1"/>
  <c r="R7" i="1"/>
  <c r="R6" i="1"/>
  <c r="K15" i="20" l="1"/>
  <c r="K16" i="20" s="1"/>
  <c r="D9" i="20"/>
  <c r="U66" i="16"/>
  <c r="X66" i="16"/>
  <c r="U14" i="12"/>
  <c r="X42" i="16"/>
  <c r="T14" i="9"/>
  <c r="U14" i="9"/>
  <c r="T18" i="12"/>
  <c r="U18" i="12"/>
  <c r="T14" i="12"/>
  <c r="T13" i="12"/>
  <c r="U60" i="16"/>
  <c r="X60" i="16"/>
  <c r="P17" i="9"/>
  <c r="T17" i="12"/>
  <c r="T17" i="9"/>
  <c r="T12" i="12"/>
  <c r="U12" i="12" s="1"/>
  <c r="U17" i="9"/>
  <c r="T11" i="12"/>
  <c r="U11" i="12" s="1"/>
  <c r="T10" i="12"/>
  <c r="U10" i="12" s="1"/>
  <c r="U42" i="16"/>
  <c r="T9" i="12"/>
  <c r="U9" i="12" s="1"/>
  <c r="U13" i="9"/>
  <c r="T16" i="12"/>
  <c r="U13" i="12"/>
  <c r="T15" i="12"/>
  <c r="T15" i="9"/>
  <c r="U15" i="9"/>
  <c r="U15" i="12"/>
  <c r="T8" i="12"/>
  <c r="U8" i="12" s="1"/>
  <c r="T7" i="12"/>
  <c r="U7" i="12" s="1"/>
  <c r="U16" i="12"/>
  <c r="T6" i="12"/>
  <c r="U6" i="12" s="1"/>
  <c r="T12" i="9"/>
  <c r="T16" i="9"/>
  <c r="P17" i="12"/>
  <c r="U12" i="9"/>
  <c r="U16" i="9"/>
  <c r="U17" i="12"/>
  <c r="T13" i="9"/>
  <c r="U11" i="9"/>
  <c r="R11" i="9"/>
  <c r="U12" i="1"/>
  <c r="X36" i="16"/>
  <c r="X11" i="16"/>
  <c r="X54" i="16"/>
  <c r="X17" i="16"/>
  <c r="T5" i="1"/>
  <c r="X5" i="16" s="1"/>
  <c r="T19" i="1"/>
  <c r="X21" i="16"/>
  <c r="X23" i="16"/>
  <c r="X32" i="16"/>
  <c r="W28" i="16"/>
  <c r="X29" i="16"/>
  <c r="U23" i="16"/>
  <c r="U29" i="16"/>
  <c r="U54" i="16"/>
  <c r="U36" i="16"/>
  <c r="U16" i="2"/>
  <c r="U10" i="2"/>
  <c r="T15" i="2"/>
  <c r="T14" i="2"/>
  <c r="U17" i="16"/>
  <c r="U11" i="16"/>
  <c r="R12" i="12"/>
  <c r="T19" i="13"/>
  <c r="Q19" i="10"/>
  <c r="Q12" i="10"/>
  <c r="T12" i="10"/>
  <c r="T19" i="10"/>
  <c r="R10" i="2"/>
  <c r="U8" i="1"/>
  <c r="R16" i="2"/>
  <c r="R12" i="1"/>
  <c r="R19" i="1"/>
  <c r="U19" i="1" l="1"/>
  <c r="U19" i="9"/>
  <c r="X28" i="16"/>
  <c r="U14" i="2"/>
  <c r="U15" i="2"/>
  <c r="U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R4" authorId="0" shapeId="0" xr:uid="{AA4B5149-598A-4AB4-A534-4DC8145C9A91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R5" authorId="0" shapeId="0" xr:uid="{6565368F-80A8-49C2-BC6B-15A4202B311F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R18" authorId="0" shapeId="0" xr:uid="{F88B52C7-96A0-406E-B89E-8585393BC32C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R24" authorId="0" shapeId="0" xr:uid="{9003423B-AADF-4C59-A7D1-823DEA765685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Der trækkes over 30a på én fase og svejseren er svær at indstille. Vi ligger formentligt lidt over hvad svejseren kan med 8mm gods</t>
        </r>
      </text>
    </comment>
    <comment ref="U30" authorId="0" shapeId="0" xr:uid="{A7688DB7-B557-47A6-8286-8848C88B754C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 1 bane i fuld længde</t>
        </r>
      </text>
    </comment>
    <comment ref="U31" authorId="0" shapeId="0" xr:uid="{8E08DDF2-E407-448D-8288-D12473527908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U32" authorId="0" shapeId="0" xr:uid="{A02B7B57-0F15-4B2B-BFC7-130E2055A5A3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U33" authorId="0" shapeId="0" xr:uid="{396A8FFE-9A35-45CF-BF55-B549BDF24640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U34" authorId="0" shapeId="0" xr:uid="{B014DE3A-8880-4150-969F-742D5EF908C4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U35" authorId="0" shapeId="0" xr:uid="{CA60B8CE-D851-4E41-8F8B-F6BB2B6B27B7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O5" authorId="0" shapeId="0" xr:uid="{98D236E8-995D-48CC-95A2-8E83D2D177A6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O6" authorId="0" shapeId="0" xr:uid="{22500F45-4010-4CCB-BC82-F70403D12285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O5" authorId="0" shapeId="0" xr:uid="{372BDFE3-BEE7-433E-8121-B682300DD9B6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O11" authorId="0" shapeId="0" xr:uid="{2331FBCB-EED0-4DEC-B99C-D33377D9ED47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Der trækkes over 30a på én fase og svejseren er svær at indstille. Vi ligger formentligt lidt over hvad svejseren kan med 8mm gods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R5" authorId="0" shapeId="0" xr:uid="{CF1A4A7A-6E52-468D-B393-F09F028DB1AD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 1 bane i fuld længde</t>
        </r>
      </text>
    </comment>
    <comment ref="R6" authorId="0" shapeId="0" xr:uid="{66DEF995-DBB2-4CEC-BAEC-FA1DB00DBFC6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R7" authorId="0" shapeId="0" xr:uid="{C6522700-0711-4E73-B02F-13EE2B28FF65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R8" authorId="0" shapeId="0" xr:uid="{2FAF4F02-087C-4D9B-9EF8-8DCF97165624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R9" authorId="0" shapeId="0" xr:uid="{6839A819-FB1D-4B55-92D3-9E91ED14B6F4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  <comment ref="R10" authorId="0" shapeId="0" xr:uid="{FB17A159-8C1B-4767-B3F9-4E2636B06D17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Svejst i 2 baner for at ramme Amål 3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O5" authorId="0" shapeId="0" xr:uid="{8675167B-69DA-4B46-A494-7824591C4F7E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O6" authorId="0" shapeId="0" xr:uid="{45A3BB9E-D61C-4543-A6FB-D057B6377E52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O5" authorId="0" shapeId="0" xr:uid="{70B2DA33-DBE8-4F44-ABD5-C05D93C2688E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O6" authorId="0" shapeId="0" xr:uid="{175A3106-C47A-4F0B-8935-7B11FB5BBCD7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O5" authorId="0" shapeId="0" xr:uid="{3B53EDF3-B470-4FA0-B27E-094EF8B32E9B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  <comment ref="O6" authorId="0" shapeId="0" xr:uid="{26760617-3CD5-4E36-AACD-4A3665D35DD5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Første test blev der ikke taget tid på og svejser var ikke indstillet helt korrekt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Ruben Hyldgaard Rolighed</author>
  </authors>
  <commentList>
    <comment ref="H13" authorId="0" shapeId="0" xr:uid="{440D6ED0-4256-4EDA-9542-17325F90921C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Resultat bliver ikke pænt på 85A</t>
        </r>
      </text>
    </comment>
    <comment ref="H14" authorId="0" shapeId="0" xr:uid="{2A38C4EE-CDD1-4AEC-B07D-D27036CC767E}">
      <text>
        <r>
          <rPr>
            <b/>
            <sz val="9"/>
            <color indexed="81"/>
            <rFont val="Tahoma"/>
            <family val="2"/>
          </rPr>
          <t>Ruben Hyldgaard Rolighed:</t>
        </r>
        <r>
          <rPr>
            <sz val="9"/>
            <color indexed="81"/>
            <rFont val="Tahoma"/>
            <family val="2"/>
          </rPr>
          <t xml:space="preserve">
Resultat bliver ikke pænt på 85A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<sst xmlns="http://schemas.openxmlformats.org/spreadsheetml/2006/main" count="1344" uniqueCount="157">
  <si>
    <t>For at tilføje ny data til beregneren, skal der først regnes et forbrug pr. mm. bearbejdning. Wh/mm er det nøgletal som beregneren skal bruge, til at beregne forbruget på en proces. Lav evt. en ny fane til registrering af data og beregning af nøgletallet.</t>
  </si>
  <si>
    <r>
      <t xml:space="preserve">Når der er beregnet et nøgletal, skal det føres ind i den grå tabel i fanen </t>
    </r>
    <r>
      <rPr>
        <b/>
        <i/>
        <sz val="11"/>
        <color theme="1"/>
        <rFont val="Calibri"/>
        <family val="2"/>
        <scheme val="minor"/>
      </rPr>
      <t>GenSnit WH pr mm alle processer</t>
    </r>
  </si>
  <si>
    <r>
      <t xml:space="preserve">Hvis det nye data hører ind under en ny kategori af processer(Afkortning, svejsning,buk) skal der laves en ny kolonne i tabellen </t>
    </r>
    <r>
      <rPr>
        <b/>
        <i/>
        <sz val="11"/>
        <color theme="1"/>
        <rFont val="Calibri"/>
        <family val="2"/>
        <scheme val="minor"/>
      </rPr>
      <t xml:space="preserve">Proces Navneliste </t>
    </r>
    <r>
      <rPr>
        <sz val="11"/>
        <color theme="1"/>
        <rFont val="Calibri"/>
        <family val="2"/>
        <scheme val="minor"/>
      </rPr>
      <t xml:space="preserve">i fanen </t>
    </r>
    <r>
      <rPr>
        <b/>
        <i/>
        <sz val="11"/>
        <color theme="1"/>
        <rFont val="Calibri"/>
        <family val="2"/>
        <scheme val="minor"/>
      </rPr>
      <t>GenSnit WH pr mm alle processer</t>
    </r>
    <r>
      <rPr>
        <sz val="11"/>
        <color theme="1"/>
        <rFont val="Calibri"/>
        <family val="2"/>
        <scheme val="minor"/>
      </rPr>
      <t xml:space="preserve">. Og i den første kolonne, skal kategorien også tilføjes(Proces) </t>
    </r>
  </si>
  <si>
    <t>Til sidst skal Teknologien tilføjes under den rigtige kategori</t>
  </si>
  <si>
    <t>Hvis den nye data hører ind under en eksisterende proces, skal der blot tilføjes en proces i en eksisterende kolonne under en passende kategori</t>
  </si>
  <si>
    <r>
      <t xml:space="preserve">Nu skal der tilføjes dimensioner til Dimensions Navnelisten i den grønne tabel i fanen </t>
    </r>
    <r>
      <rPr>
        <b/>
        <i/>
        <sz val="11"/>
        <color theme="1"/>
        <rFont val="Calibri"/>
        <family val="2"/>
        <scheme val="minor"/>
      </rPr>
      <t>GenSnit WH pr mm alle processer.</t>
    </r>
    <r>
      <rPr>
        <sz val="11"/>
        <color theme="1"/>
        <rFont val="Calibri"/>
        <family val="2"/>
        <scheme val="minor"/>
      </rPr>
      <t xml:space="preserve"> </t>
    </r>
  </si>
  <si>
    <t>Start med at tilføje teknologien til den første kolonne.</t>
  </si>
  <si>
    <t>Opret en ny kolonne med teknologien som Header og tilføj de materialedimensioner der forelægger data på, i denne kolonne</t>
  </si>
  <si>
    <r>
      <t xml:space="preserve">Hvis der er oprettet en ny kategori(proces), skal der nu registreres et navn til denne i excel. Gå først til </t>
    </r>
    <r>
      <rPr>
        <b/>
        <i/>
        <sz val="11"/>
        <color theme="1"/>
        <rFont val="Calibri"/>
        <family val="2"/>
        <scheme val="minor"/>
      </rPr>
      <t>Formler/Navnestyring.</t>
    </r>
  </si>
  <si>
    <r>
      <t xml:space="preserve">Tryk </t>
    </r>
    <r>
      <rPr>
        <b/>
        <i/>
        <sz val="11"/>
        <color theme="1"/>
        <rFont val="Calibri"/>
        <family val="2"/>
        <scheme val="minor"/>
      </rPr>
      <t xml:space="preserve">NYT </t>
    </r>
    <r>
      <rPr>
        <sz val="11"/>
        <color theme="1"/>
        <rFont val="Calibri"/>
        <family val="2"/>
        <scheme val="minor"/>
      </rPr>
      <t>for at oprette et nyt navn</t>
    </r>
  </si>
  <si>
    <t>Udfyld navnet øverst. Det er MEGET vigtigt at det er skrevet præcist som i tabellerne. Navne må ikke indeholde mellemrum, brug evt. _</t>
  </si>
  <si>
    <t>Tryk derefter på den lille pil for at vælge hvilket område navnet dækker over</t>
  </si>
  <si>
    <t>Marker nu det område som navnet dækker i den nyoprettede kolonne og tryk ENTER</t>
  </si>
  <si>
    <t>Nu er navnet på den nye proces oprettet og tilgængelig for beregneren.</t>
  </si>
  <si>
    <r>
      <t xml:space="preserve">Nu skal der oprettes et navn til den nye teknologi. Det er præcist samme fremgangsmåde. Tryk </t>
    </r>
    <r>
      <rPr>
        <b/>
        <i/>
        <sz val="11"/>
        <color theme="1"/>
        <rFont val="Calibri"/>
        <family val="2"/>
        <scheme val="minor"/>
      </rPr>
      <t>Formler/Navnestyring</t>
    </r>
  </si>
  <si>
    <t>Opret nyt navn ved at trykke Nyt</t>
  </si>
  <si>
    <t>Indtast det præcise navn som er brugt i den grønne tabel og marker området i navnets kolonne</t>
  </si>
  <si>
    <t xml:space="preserve">Tryk ENTER og navnet er oprettet. </t>
  </si>
  <si>
    <t>Nu skulle navnene være tilgængelige i beregnerens drop-down menuer</t>
  </si>
  <si>
    <t>Tomgang</t>
  </si>
  <si>
    <t>Svejseværk</t>
  </si>
  <si>
    <t>Test#</t>
  </si>
  <si>
    <t>Proces</t>
  </si>
  <si>
    <t>Emne dimensioner</t>
  </si>
  <si>
    <t>Længde svejsning</t>
  </si>
  <si>
    <t>Emne materiale</t>
  </si>
  <si>
    <t>A mål</t>
  </si>
  <si>
    <t>Spænding Volt</t>
  </si>
  <si>
    <t>Strømindstilling(A)</t>
  </si>
  <si>
    <t>Trådfremføring (m/min)</t>
  </si>
  <si>
    <t>Puls</t>
  </si>
  <si>
    <t>Trådtype</t>
  </si>
  <si>
    <t>Tråd dimension</t>
  </si>
  <si>
    <t>Gastype</t>
  </si>
  <si>
    <t>Gasflow l/m</t>
  </si>
  <si>
    <t>Forbrug (WH)</t>
  </si>
  <si>
    <t>Forbrug pr mm</t>
  </si>
  <si>
    <t>Tid</t>
  </si>
  <si>
    <t>WH/Sek</t>
  </si>
  <si>
    <t>Areal snit</t>
  </si>
  <si>
    <t>Vol svejsning mm</t>
  </si>
  <si>
    <t>Forbrug pr mm3</t>
  </si>
  <si>
    <t>Ramp ned tid sek.</t>
  </si>
  <si>
    <t>Effekt forbrug W</t>
  </si>
  <si>
    <t>Navneliste Proces-Svejseværk</t>
  </si>
  <si>
    <t>KemppiPromig530Pro3200ev</t>
  </si>
  <si>
    <t>MAGMassivTråd</t>
  </si>
  <si>
    <t>40x330x3</t>
  </si>
  <si>
    <t>S235 Sort</t>
  </si>
  <si>
    <t>n</t>
  </si>
  <si>
    <t>massiv</t>
  </si>
  <si>
    <t>82/18</t>
  </si>
  <si>
    <t>TIG</t>
  </si>
  <si>
    <t>Elektrode</t>
  </si>
  <si>
    <t>Kolonne2</t>
  </si>
  <si>
    <t>MigatronicPI250</t>
  </si>
  <si>
    <t>KemppiMasterM205</t>
  </si>
  <si>
    <t>KemppiMasterTig235</t>
  </si>
  <si>
    <t>Genn.Snit</t>
  </si>
  <si>
    <t>40x330x8</t>
  </si>
  <si>
    <t>?</t>
  </si>
  <si>
    <t>n(DC)</t>
  </si>
  <si>
    <t>Jern</t>
  </si>
  <si>
    <t>Argon</t>
  </si>
  <si>
    <t>Navneliste Svejseværk-Amål</t>
  </si>
  <si>
    <t>40x165x3</t>
  </si>
  <si>
    <t>MAGMassivTrådKemppiPromig530Pro3200ev</t>
  </si>
  <si>
    <t>MAGMassivTrådKemppiMasterM205</t>
  </si>
  <si>
    <t>TIGMigatronicPI250</t>
  </si>
  <si>
    <t>ElektrodeMigatronicPI250</t>
  </si>
  <si>
    <t>TIGKemppiMasterTig235</t>
  </si>
  <si>
    <t>ElektrodeKemppiMasterTig235</t>
  </si>
  <si>
    <t>40x330x1,5</t>
  </si>
  <si>
    <t>40x165x8</t>
  </si>
  <si>
    <t>OK53.16</t>
  </si>
  <si>
    <t>SAMMENLIGNING AF SVEJSERESULTATER</t>
  </si>
  <si>
    <t>Test resultater Svejsning 90g svejsning</t>
  </si>
  <si>
    <t>135(MAG massiv tråd)</t>
  </si>
  <si>
    <t>Amål</t>
  </si>
  <si>
    <t>Halveret katete</t>
  </si>
  <si>
    <t>Beregning af ny hypot</t>
  </si>
  <si>
    <t>Beregning af areal</t>
  </si>
  <si>
    <t>((D24*D24)/2)</t>
  </si>
  <si>
    <t>(KVROD((POTENS((D22/2);2)+(POTENS((D22/2);2)))))</t>
  </si>
  <si>
    <t>Effektforbrug</t>
  </si>
  <si>
    <t>Længde mm</t>
  </si>
  <si>
    <t>AMÅL mm</t>
  </si>
  <si>
    <t>Areal af snit mm2</t>
  </si>
  <si>
    <t>Volumen mm3</t>
  </si>
  <si>
    <t>Effektforbrug pr. mm3</t>
  </si>
  <si>
    <t>141(TIG)</t>
  </si>
  <si>
    <t>Plasmaskærer</t>
  </si>
  <si>
    <t>Material</t>
  </si>
  <si>
    <t>Mat. Tykkelse</t>
  </si>
  <si>
    <t>Forbrug</t>
  </si>
  <si>
    <t>Lang/kort</t>
  </si>
  <si>
    <t>Størrelse</t>
  </si>
  <si>
    <t>Antal</t>
  </si>
  <si>
    <t>Strømstyrke</t>
  </si>
  <si>
    <t>Hver emne er blevet skåret hele vejen rundt i målingen, dvs. 400mm skæring pr. emne</t>
  </si>
  <si>
    <t>Stål</t>
  </si>
  <si>
    <t>100x100</t>
  </si>
  <si>
    <t>Gen.Snit</t>
  </si>
  <si>
    <t>WH/mm kantskæring</t>
  </si>
  <si>
    <t>ELEKTROMEKANISK KLIP</t>
  </si>
  <si>
    <t>Forbrug WH</t>
  </si>
  <si>
    <t>Ved hver dimension er der klippet 10 emner på 100x100mm. Pladen er først klippet ren i enden, så alle 4 sider af de 10 emner er blevet bearbejdet og målt med i strømforbrug. Dvs. 400mm bearbejdning pr. emne</t>
  </si>
  <si>
    <t>WH/mm kantklip</t>
  </si>
  <si>
    <t>TOMGANG</t>
  </si>
  <si>
    <t>19,5w</t>
  </si>
  <si>
    <t>Lang</t>
  </si>
  <si>
    <t>Kort</t>
  </si>
  <si>
    <t>Forbrug wh</t>
  </si>
  <si>
    <t>Wh/mm</t>
  </si>
  <si>
    <t>1m27s</t>
  </si>
  <si>
    <t>Forbrug opstart af laser</t>
  </si>
  <si>
    <t>Tomgangsforbrug</t>
  </si>
  <si>
    <t>Opstartstid</t>
  </si>
  <si>
    <t>Nedluk</t>
  </si>
  <si>
    <t>Tomgang i 2m37s</t>
  </si>
  <si>
    <t>1,329kwh</t>
  </si>
  <si>
    <t>10min</t>
  </si>
  <si>
    <t>282wh</t>
  </si>
  <si>
    <t>2m37s</t>
  </si>
  <si>
    <t>1m34s</t>
  </si>
  <si>
    <t>Ved skæring af stål bruges Nitrogen, ved rustfri bruges oxygen til procesgas</t>
  </si>
  <si>
    <t>HYDRAULISK KLIP</t>
  </si>
  <si>
    <t>Klip#</t>
  </si>
  <si>
    <t>I alt</t>
  </si>
  <si>
    <t>l</t>
  </si>
  <si>
    <t>k</t>
  </si>
  <si>
    <t>Nøgletal til beregneren (Wh/mm)</t>
  </si>
  <si>
    <t>Beregner</t>
  </si>
  <si>
    <t>Teknologi</t>
  </si>
  <si>
    <t>Dimensionsenhed (Godstykkelse)</t>
  </si>
  <si>
    <t>WH pr MM</t>
  </si>
  <si>
    <t>Bearbejdningsproces</t>
  </si>
  <si>
    <t>Materiale dimension</t>
  </si>
  <si>
    <t>Bearbejdningslængde i mm</t>
  </si>
  <si>
    <t>Strømforbrug Wh</t>
  </si>
  <si>
    <t>Svejsning</t>
  </si>
  <si>
    <t>MAG</t>
  </si>
  <si>
    <t>MMA</t>
  </si>
  <si>
    <t>Pladeafkortning</t>
  </si>
  <si>
    <t>Elektromekanisk_pladesaks</t>
  </si>
  <si>
    <t>Hydraulisk_pladesaks</t>
  </si>
  <si>
    <t>Total forbrug</t>
  </si>
  <si>
    <t>CO2(DK2022)</t>
  </si>
  <si>
    <t>Laserskærer</t>
  </si>
  <si>
    <t>PROCES NAVNELISTE</t>
  </si>
  <si>
    <t>PROCES</t>
  </si>
  <si>
    <t>Kolonne1</t>
  </si>
  <si>
    <t>Kolonne3</t>
  </si>
  <si>
    <t>Kolonne4</t>
  </si>
  <si>
    <t>DIMENSION NAVNELISTE</t>
  </si>
  <si>
    <t>TEKNOLOGI</t>
  </si>
  <si>
    <t>Kolonne5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</si>
</sst>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0"/>
    <numFmt numFmtId="165" formatCode="0.00\W\h"/>
  </numFmts>
  <fonts count="17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6"/>
      <color theme="4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6"/>
      <color theme="5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7C8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medium">
        <color rgb="FF000000"/>
      </right>
      <top/>
      <bottom style="thin">
        <color rgb="FF7F7F7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</borders>
  <cellStyleXfs count="3">
    <xf numFmtId="0" fontId="0" fillId="0" borderId="0"/>
    <xf numFmtId="0" fontId="5" fillId="4" borderId="1" applyNumberFormat="0" applyAlignment="0" applyProtection="0"/>
    <xf numFmtId="0" fontId="6" fillId="5" borderId="1" applyNumberFormat="0" applyAlignment="0" applyProtection="0"/>
  </cellStyleXfs>
  <cellXfs count="56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/>
    <xf numFmtId="49" fontId="0" fillId="3" borderId="0" xfId="0" applyNumberFormat="1" applyFill="1"/>
    <xf numFmtId="0" fontId="0" fillId="6" borderId="0" xfId="0" applyFill="1"/>
    <xf numFmtId="0" fontId="7" fillId="0" borderId="0" xfId="0" applyFont="1"/>
    <xf numFmtId="0" fontId="5" fillId="4" borderId="3" xfId="1" applyBorder="1"/>
    <xf numFmtId="49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7" borderId="0" xfId="0" applyFill="1"/>
    <xf numFmtId="0" fontId="7" fillId="0" borderId="4" xfId="0" applyFont="1" applyBorder="1"/>
    <xf numFmtId="0" fontId="0" fillId="8" borderId="0" xfId="0" applyFill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2" fillId="0" borderId="0" xfId="0" applyFont="1"/>
    <xf numFmtId="0" fontId="13" fillId="0" borderId="0" xfId="0" applyFont="1"/>
    <xf numFmtId="0" fontId="7" fillId="0" borderId="2" xfId="0" applyFont="1" applyBorder="1"/>
    <xf numFmtId="0" fontId="0" fillId="7" borderId="2" xfId="0" applyFill="1" applyBorder="1"/>
    <xf numFmtId="0" fontId="7" fillId="0" borderId="14" xfId="0" applyFont="1" applyBorder="1"/>
    <xf numFmtId="0" fontId="14" fillId="0" borderId="11" xfId="0" applyFont="1" applyBorder="1"/>
    <xf numFmtId="0" fontId="5" fillId="4" borderId="18" xfId="1" applyBorder="1"/>
    <xf numFmtId="0" fontId="12" fillId="14" borderId="19" xfId="2" applyFont="1" applyFill="1" applyBorder="1"/>
    <xf numFmtId="0" fontId="0" fillId="0" borderId="20" xfId="0" applyBorder="1"/>
    <xf numFmtId="2" fontId="0" fillId="0" borderId="21" xfId="0" applyNumberFormat="1" applyBorder="1"/>
    <xf numFmtId="49" fontId="0" fillId="13" borderId="20" xfId="0" applyNumberFormat="1" applyFill="1" applyBorder="1"/>
    <xf numFmtId="0" fontId="0" fillId="13" borderId="0" xfId="0" applyFill="1"/>
    <xf numFmtId="165" fontId="15" fillId="0" borderId="22" xfId="0" applyNumberFormat="1" applyFont="1" applyBorder="1" applyAlignment="1">
      <alignment horizontal="center"/>
    </xf>
    <xf numFmtId="0" fontId="0" fillId="13" borderId="23" xfId="0" applyFill="1" applyBorder="1"/>
    <xf numFmtId="0" fontId="0" fillId="13" borderId="24" xfId="0" applyFill="1" applyBorder="1"/>
    <xf numFmtId="0" fontId="14" fillId="0" borderId="25" xfId="0" applyFont="1" applyBorder="1"/>
    <xf numFmtId="0" fontId="16" fillId="0" borderId="2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 wrapText="1"/>
    </xf>
    <xf numFmtId="0" fontId="7" fillId="9" borderId="11" xfId="0" applyFont="1" applyFill="1" applyBorder="1" applyAlignment="1">
      <alignment horizontal="center"/>
    </xf>
    <xf numFmtId="0" fontId="7" fillId="9" borderId="12" xfId="0" applyFont="1" applyFill="1" applyBorder="1" applyAlignment="1">
      <alignment horizontal="center"/>
    </xf>
    <xf numFmtId="0" fontId="7" fillId="9" borderId="13" xfId="0" applyFont="1" applyFill="1" applyBorder="1" applyAlignment="1">
      <alignment horizontal="center"/>
    </xf>
    <xf numFmtId="0" fontId="7" fillId="10" borderId="15" xfId="0" applyFont="1" applyFill="1" applyBorder="1" applyAlignment="1">
      <alignment horizontal="center"/>
    </xf>
    <xf numFmtId="0" fontId="7" fillId="10" borderId="16" xfId="0" applyFont="1" applyFill="1" applyBorder="1" applyAlignment="1">
      <alignment horizontal="center"/>
    </xf>
    <xf numFmtId="0" fontId="7" fillId="10" borderId="17" xfId="0" applyFont="1" applyFill="1" applyBorder="1" applyAlignment="1">
      <alignment horizontal="center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</cellXfs>
  <cellStyles count="3">
    <cellStyle name="Beregning" xfId="2" builtinId="22"/>
    <cellStyle name="Input" xfId="1" builtinId="20"/>
    <cellStyle name="Normal" xfId="0" builtinId="0"/>
  </cellStyles>
  <dxfs count="51">
    <dxf>
      <numFmt numFmtId="0" formatCode="General"/>
    </dxf>
    <dxf>
      <border outline="0">
        <top style="thin">
          <color rgb="FF7F7F7F"/>
        </top>
      </border>
    </dxf>
    <dxf>
      <border outline="0">
        <bottom style="thin">
          <color rgb="FF7F7F7F"/>
        </bottom>
      </border>
    </dxf>
    <dxf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  <dxf>
      <numFmt numFmtId="164" formatCode="0.000000000000000"/>
    </dxf>
    <dxf>
      <numFmt numFmtId="2" formatCode="0.00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top style="thin">
          <color theme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7594050743664E-2"/>
          <c:y val="0.3786468032278088"/>
          <c:w val="0.89019685039370078"/>
          <c:h val="0.47735401789860071"/>
        </c:manualLayout>
      </c:layout>
      <c:barChart>
        <c:barDir val="col"/>
        <c:grouping val="clustered"/>
        <c:varyColors val="0"/>
        <c:ser>
          <c:idx val="0"/>
          <c:order val="0"/>
          <c:tx>
            <c:v>Kemppi Promig 530 - Pro 3200 ev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('Kemppi Promig 530 - Pro 3200 ev'!$C$12,'Kemppi Promig 530 - Pro 3200 ev'!$C$19)</c:f>
              <c:strCache>
                <c:ptCount val="2"/>
                <c:pt idx="0">
                  <c:v>40x330x3</c:v>
                </c:pt>
                <c:pt idx="1">
                  <c:v>40x330x8</c:v>
                </c:pt>
              </c:strCache>
            </c:strRef>
          </c:cat>
          <c:val>
            <c:numRef>
              <c:f>('Kemppi Promig 530 - Pro 3200 ev'!$O$12,'Kemppi Promig 530 - Pro 3200 ev'!$O$19)</c:f>
              <c:numCache>
                <c:formatCode>General</c:formatCode>
                <c:ptCount val="2"/>
                <c:pt idx="0">
                  <c:v>66.010000000000005</c:v>
                </c:pt>
                <c:pt idx="1">
                  <c:v>116.92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B4-47FD-BFB9-054EBFEDCA25}"/>
            </c:ext>
          </c:extLst>
        </c:ser>
        <c:ser>
          <c:idx val="1"/>
          <c:order val="1"/>
          <c:tx>
            <c:v>Kemppi Master M205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F5F-4761-BBD9-B2CC17A1A8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('Kemppi Master M205'!$O$10,'Kemppi Master M205'!$O$16)</c:f>
              <c:numCache>
                <c:formatCode>General</c:formatCode>
                <c:ptCount val="2"/>
                <c:pt idx="0">
                  <c:v>68.5</c:v>
                </c:pt>
                <c:pt idx="1">
                  <c:v>132.5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B4-47FD-BFB9-054EBFEDCA25}"/>
            </c:ext>
          </c:extLst>
        </c:ser>
        <c:ser>
          <c:idx val="2"/>
          <c:order val="2"/>
          <c:tx>
            <c:v>TIG-Migatronic PI 250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'TIG-Migatronic PI 250'!$O$11</c:f>
              <c:numCache>
                <c:formatCode>General</c:formatCode>
                <c:ptCount val="1"/>
                <c:pt idx="0">
                  <c:v>65.225000000000009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B4-47FD-BFB9-054EBFEDCA25}"/>
            </c:ext>
          </c:extLst>
        </c:ser>
        <c:ser>
          <c:idx val="3"/>
          <c:order val="3"/>
          <c:tx>
            <c:v>'Kemppi MasterTig 235'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'Kemppi MasterTig 235'!$O$12</c:f>
              <c:numCache>
                <c:formatCode>General</c:formatCode>
                <c:ptCount val="1"/>
                <c:pt idx="0">
                  <c:v>76.839999999999989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1-46E1-BE28-4CE15FFAC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38713135"/>
        <c:axId val="438709247"/>
      </c:barChart>
      <c:catAx>
        <c:axId val="438713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709247"/>
        <c:crosses val="autoZero"/>
        <c:auto val="1"/>
        <c:lblAlgn val="ctr"/>
        <c:lblOffset val="100"/>
        <c:noMultiLvlLbl val="0"/>
      </c:catAx>
      <c:valAx>
        <c:axId val="438709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713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'Kemppi Promig 530 - Pro 3200 ev'!$O$4</c:f>
              <c:strCache>
                <c:ptCount val="1"/>
                <c:pt idx="0">
                  <c:v>Forbrug (WH)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('Kemppi Promig 530 - Pro 3200 ev'!$O$7:$O$11,'Kemppi Promig 530 - Pro 3200 ev'!$O$14:$O$18)</c:f>
              <c:numCache>
                <c:formatCode>General</c:formatCode>
                <c:ptCount val="10"/>
                <c:pt idx="0">
                  <c:v>64.400000000000006</c:v>
                </c:pt>
                <c:pt idx="1">
                  <c:v>57.35</c:v>
                </c:pt>
                <c:pt idx="2">
                  <c:v>76</c:v>
                </c:pt>
                <c:pt idx="3">
                  <c:v>67</c:v>
                </c:pt>
                <c:pt idx="4">
                  <c:v>65.3</c:v>
                </c:pt>
                <c:pt idx="5">
                  <c:v>113.6</c:v>
                </c:pt>
                <c:pt idx="6">
                  <c:v>122</c:v>
                </c:pt>
                <c:pt idx="7">
                  <c:v>124</c:v>
                </c:pt>
                <c:pt idx="8">
                  <c:v>110</c:v>
                </c:pt>
                <c:pt idx="9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AC-4E46-9565-4675BF24B453}"/>
            </c:ext>
          </c:extLst>
        </c:ser>
        <c:ser>
          <c:idx val="2"/>
          <c:order val="2"/>
          <c:tx>
            <c:strRef>
              <c:f>'Kemppi Promig 530 - Pro 3200 ev'!$Q$4</c:f>
              <c:strCache>
                <c:ptCount val="1"/>
                <c:pt idx="0">
                  <c:v>Tid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('Kemppi Promig 530 - Pro 3200 ev'!$Q$7:$Q$11,'Kemppi Promig 530 - Pro 3200 ev'!$Q$14:$Q$18)</c:f>
              <c:numCache>
                <c:formatCode>General</c:formatCode>
                <c:ptCount val="10"/>
                <c:pt idx="0">
                  <c:v>61</c:v>
                </c:pt>
                <c:pt idx="1">
                  <c:v>55</c:v>
                </c:pt>
                <c:pt idx="2">
                  <c:v>71</c:v>
                </c:pt>
                <c:pt idx="3">
                  <c:v>63</c:v>
                </c:pt>
                <c:pt idx="4">
                  <c:v>61</c:v>
                </c:pt>
                <c:pt idx="5">
                  <c:v>76</c:v>
                </c:pt>
                <c:pt idx="6">
                  <c:v>81</c:v>
                </c:pt>
                <c:pt idx="7">
                  <c:v>83</c:v>
                </c:pt>
                <c:pt idx="8">
                  <c:v>74</c:v>
                </c:pt>
                <c:pt idx="9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4AC-4E46-9565-4675BF24B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557968"/>
        <c:axId val="737559888"/>
      </c:lineChart>
      <c:lineChart>
        <c:grouping val="standard"/>
        <c:varyColors val="0"/>
        <c:ser>
          <c:idx val="0"/>
          <c:order val="0"/>
          <c:tx>
            <c:strRef>
              <c:f>'Kemppi Promig 530 - Pro 3200 ev'!$F$4</c:f>
              <c:strCache>
                <c:ptCount val="1"/>
                <c:pt idx="0">
                  <c:v>A mål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('Kemppi Promig 530 - Pro 3200 ev'!$F$7:$F$11,'Kemppi Promig 530 - Pro 3200 ev'!$F$14:$F$18)</c:f>
              <c:numCache>
                <c:formatCode>General</c:formatCode>
                <c:ptCount val="1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4AC-4E46-9565-4675BF24B453}"/>
            </c:ext>
          </c:extLst>
        </c:ser>
        <c:ser>
          <c:idx val="4"/>
          <c:order val="3"/>
          <c:tx>
            <c:strRef>
              <c:f>'Kemppi Promig 530 - Pro 3200 ev'!$R$4</c:f>
              <c:strCache>
                <c:ptCount val="1"/>
                <c:pt idx="0">
                  <c:v>WH/Sek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('Kemppi Promig 530 - Pro 3200 ev'!$R$7:$R$11,'Kemppi Promig 530 - Pro 3200 ev'!$R$14:$R$18)</c:f>
              <c:numCache>
                <c:formatCode>General</c:formatCode>
                <c:ptCount val="10"/>
                <c:pt idx="0">
                  <c:v>1.055737704918033</c:v>
                </c:pt>
                <c:pt idx="1">
                  <c:v>1.0427272727272727</c:v>
                </c:pt>
                <c:pt idx="2">
                  <c:v>1.0704225352112675</c:v>
                </c:pt>
                <c:pt idx="3">
                  <c:v>1.0634920634920635</c:v>
                </c:pt>
                <c:pt idx="4">
                  <c:v>1.0704918032786885</c:v>
                </c:pt>
                <c:pt idx="5">
                  <c:v>1.4947368421052631</c:v>
                </c:pt>
                <c:pt idx="6">
                  <c:v>1.5061728395061729</c:v>
                </c:pt>
                <c:pt idx="7">
                  <c:v>1.4939759036144578</c:v>
                </c:pt>
                <c:pt idx="8">
                  <c:v>1.4864864864864864</c:v>
                </c:pt>
                <c:pt idx="9">
                  <c:v>1.4935064935064934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AC-4E46-9565-4675BF24B453}"/>
            </c:ext>
          </c:extLst>
        </c:ser>
        <c:ser>
          <c:idx val="3"/>
          <c:order val="4"/>
          <c:tx>
            <c:strRef>
              <c:f>'Kemppi Promig 530 - Pro 3200 ev'!$U$4</c:f>
              <c:strCache>
                <c:ptCount val="1"/>
                <c:pt idx="0">
                  <c:v>Forbrug pr mm3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('Kemppi Promig 530 - Pro 3200 ev'!$U$7:$U$11,'Kemppi Promig 530 - Pro 3200 ev'!$U$14:$U$18)</c:f>
              <c:numCache>
                <c:formatCode>General</c:formatCode>
                <c:ptCount val="10"/>
                <c:pt idx="0">
                  <c:v>8.6734006734006761E-2</c:v>
                </c:pt>
                <c:pt idx="1">
                  <c:v>7.7239057239057246E-2</c:v>
                </c:pt>
                <c:pt idx="2">
                  <c:v>0.10235690235690237</c:v>
                </c:pt>
                <c:pt idx="3">
                  <c:v>9.0235690235690252E-2</c:v>
                </c:pt>
                <c:pt idx="4">
                  <c:v>8.7946127946127953E-2</c:v>
                </c:pt>
                <c:pt idx="5">
                  <c:v>5.5078787878787866E-2</c:v>
                </c:pt>
                <c:pt idx="6">
                  <c:v>5.9151515151515136E-2</c:v>
                </c:pt>
                <c:pt idx="7">
                  <c:v>6.012121212121211E-2</c:v>
                </c:pt>
                <c:pt idx="8">
                  <c:v>5.3333333333333323E-2</c:v>
                </c:pt>
                <c:pt idx="9">
                  <c:v>5.5757575757575742E-2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4AC-4E46-9565-4675BF24B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9406912"/>
        <c:axId val="1296155760"/>
      </c:lineChart>
      <c:catAx>
        <c:axId val="7375579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9888"/>
        <c:crosses val="autoZero"/>
        <c:auto val="1"/>
        <c:lblAlgn val="ctr"/>
        <c:lblOffset val="100"/>
        <c:noMultiLvlLbl val="0"/>
      </c:catAx>
      <c:valAx>
        <c:axId val="737559888"/>
        <c:scaling>
          <c:orientation val="minMax"/>
          <c:max val="1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7968"/>
        <c:crosses val="autoZero"/>
        <c:crossBetween val="between"/>
        <c:minorUnit val="2"/>
      </c:valAx>
      <c:valAx>
        <c:axId val="1296155760"/>
        <c:scaling>
          <c:logBase val="10"/>
          <c:orientation val="minMax"/>
          <c:max val="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9406912"/>
        <c:crosses val="max"/>
        <c:crossBetween val="between"/>
      </c:valAx>
      <c:catAx>
        <c:axId val="1319406912"/>
        <c:scaling>
          <c:orientation val="minMax"/>
        </c:scaling>
        <c:delete val="1"/>
        <c:axPos val="b"/>
        <c:majorTickMark val="out"/>
        <c:minorTickMark val="none"/>
        <c:tickLblPos val="nextTo"/>
        <c:crossAx val="12961557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1"/>
          <c:tx>
            <c:strRef>
              <c:f>'Kemppi Master M205'!$O$4</c:f>
              <c:strCache>
                <c:ptCount val="1"/>
                <c:pt idx="0">
                  <c:v>Forbrug (WH)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('Kemppi Master M205'!$O$6:$O$9,'Kemppi Master M205'!$O$12:$O$15)</c:f>
              <c:numCache>
                <c:formatCode>General</c:formatCode>
                <c:ptCount val="8"/>
                <c:pt idx="0">
                  <c:v>56</c:v>
                </c:pt>
                <c:pt idx="1">
                  <c:v>73</c:v>
                </c:pt>
                <c:pt idx="2">
                  <c:v>78</c:v>
                </c:pt>
                <c:pt idx="3">
                  <c:v>67</c:v>
                </c:pt>
                <c:pt idx="4">
                  <c:v>128</c:v>
                </c:pt>
                <c:pt idx="5">
                  <c:v>136</c:v>
                </c:pt>
                <c:pt idx="6">
                  <c:v>128</c:v>
                </c:pt>
                <c:pt idx="7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19-4B36-822E-018B5A5C1717}"/>
            </c:ext>
          </c:extLst>
        </c:ser>
        <c:ser>
          <c:idx val="2"/>
          <c:order val="2"/>
          <c:tx>
            <c:strRef>
              <c:f>'Kemppi Master M205'!$Q$4</c:f>
              <c:strCache>
                <c:ptCount val="1"/>
                <c:pt idx="0">
                  <c:v>Tid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('Kemppi Master M205'!$Q$6:$Q$9,'Kemppi Master M205'!$Q$12:$Q$15)</c:f>
              <c:numCache>
                <c:formatCode>General</c:formatCode>
                <c:ptCount val="8"/>
                <c:pt idx="0">
                  <c:v>43</c:v>
                </c:pt>
                <c:pt idx="1">
                  <c:v>56</c:v>
                </c:pt>
                <c:pt idx="2">
                  <c:v>60</c:v>
                </c:pt>
                <c:pt idx="3">
                  <c:v>53</c:v>
                </c:pt>
                <c:pt idx="4">
                  <c:v>100</c:v>
                </c:pt>
                <c:pt idx="5">
                  <c:v>105</c:v>
                </c:pt>
                <c:pt idx="6">
                  <c:v>102</c:v>
                </c:pt>
                <c:pt idx="7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919-4B36-822E-018B5A5C1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557968"/>
        <c:axId val="737559888"/>
      </c:lineChart>
      <c:lineChart>
        <c:grouping val="standard"/>
        <c:varyColors val="0"/>
        <c:ser>
          <c:idx val="1"/>
          <c:order val="0"/>
          <c:tx>
            <c:strRef>
              <c:f>'Kemppi Master M205'!$F$4</c:f>
              <c:strCache>
                <c:ptCount val="1"/>
                <c:pt idx="0">
                  <c:v>A mål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('Kemppi Master M205'!$A$6:$A$9,'Kemppi Master M205'!$A$11:$A$15)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</c:numCache>
            </c:numRef>
          </c:cat>
          <c:val>
            <c:numRef>
              <c:f>('Kemppi Master M205'!$F$6:$F$9,'Kemppi Master M205'!$F$12:$F$15)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9-4B36-822E-018B5A5C1717}"/>
            </c:ext>
          </c:extLst>
        </c:ser>
        <c:ser>
          <c:idx val="3"/>
          <c:order val="3"/>
          <c:tx>
            <c:strRef>
              <c:f>'Kemppi Master M205'!$R$4</c:f>
              <c:strCache>
                <c:ptCount val="1"/>
                <c:pt idx="0">
                  <c:v>WH/Sek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val>
            <c:numRef>
              <c:f>('Kemppi Master M205'!$R$6:$R$9,'Kemppi Master M205'!$R$12:$R$15)</c:f>
              <c:numCache>
                <c:formatCode>General</c:formatCode>
                <c:ptCount val="8"/>
                <c:pt idx="0">
                  <c:v>1.3023255813953489</c:v>
                </c:pt>
                <c:pt idx="1">
                  <c:v>1.3035714285714286</c:v>
                </c:pt>
                <c:pt idx="2">
                  <c:v>1.3</c:v>
                </c:pt>
                <c:pt idx="3">
                  <c:v>1.2641509433962264</c:v>
                </c:pt>
                <c:pt idx="4">
                  <c:v>1.28</c:v>
                </c:pt>
                <c:pt idx="5">
                  <c:v>1.2952380952380953</c:v>
                </c:pt>
                <c:pt idx="6">
                  <c:v>1.2549019607843137</c:v>
                </c:pt>
                <c:pt idx="7">
                  <c:v>1.2897196261682242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919-4B36-822E-018B5A5C1717}"/>
            </c:ext>
          </c:extLst>
        </c:ser>
        <c:ser>
          <c:idx val="4"/>
          <c:order val="4"/>
          <c:tx>
            <c:strRef>
              <c:f>'Kemppi Master M205'!$U$4</c:f>
              <c:strCache>
                <c:ptCount val="1"/>
                <c:pt idx="0">
                  <c:v>Forbrug pr mm3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rgbClr val="FFC000"/>
                </a:solidFill>
              </a:ln>
              <a:effectLst/>
            </c:spPr>
          </c:marker>
          <c:val>
            <c:numRef>
              <c:f>('Kemppi Master M205'!$U$6:$U$9,'Kemppi Master M205'!$U$12:$U$15)</c:f>
              <c:numCache>
                <c:formatCode>General</c:formatCode>
                <c:ptCount val="8"/>
                <c:pt idx="0">
                  <c:v>7.542087542087543E-2</c:v>
                </c:pt>
                <c:pt idx="1">
                  <c:v>9.831649831649833E-2</c:v>
                </c:pt>
                <c:pt idx="2">
                  <c:v>0.10505050505050506</c:v>
                </c:pt>
                <c:pt idx="3">
                  <c:v>9.0235690235690252E-2</c:v>
                </c:pt>
                <c:pt idx="4">
                  <c:v>6.2060606060606045E-2</c:v>
                </c:pt>
                <c:pt idx="5">
                  <c:v>6.5939393939393923E-2</c:v>
                </c:pt>
                <c:pt idx="6">
                  <c:v>6.2060606060606045E-2</c:v>
                </c:pt>
                <c:pt idx="7">
                  <c:v>6.690909090909089E-2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919-4B36-822E-018B5A5C17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2892624"/>
        <c:axId val="1296403248"/>
      </c:lineChart>
      <c:catAx>
        <c:axId val="73755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9888"/>
        <c:crosses val="autoZero"/>
        <c:auto val="1"/>
        <c:lblAlgn val="ctr"/>
        <c:lblOffset val="100"/>
        <c:noMultiLvlLbl val="0"/>
      </c:catAx>
      <c:valAx>
        <c:axId val="737559888"/>
        <c:scaling>
          <c:orientation val="minMax"/>
          <c:max val="14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7968"/>
        <c:crosses val="autoZero"/>
        <c:crossBetween val="between"/>
        <c:minorUnit val="2"/>
      </c:valAx>
      <c:valAx>
        <c:axId val="1296403248"/>
        <c:scaling>
          <c:logBase val="10"/>
          <c:orientation val="minMax"/>
          <c:max val="5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892624"/>
        <c:crosses val="max"/>
        <c:crossBetween val="between"/>
      </c:valAx>
      <c:catAx>
        <c:axId val="1452892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6403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1"/>
          <c:tx>
            <c:strRef>
              <c:f>'TIG-Migatronic PI 250'!$O$4</c:f>
              <c:strCache>
                <c:ptCount val="1"/>
                <c:pt idx="0">
                  <c:v>Forbrug (WH)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('TIG-Migatronic PI 250'!$O$5:$O$10,'TIG-Migatronic PI 250'!$O$12:$O$16)</c:f>
              <c:numCache>
                <c:formatCode>General</c:formatCode>
                <c:ptCount val="11"/>
                <c:pt idx="0">
                  <c:v>48</c:v>
                </c:pt>
                <c:pt idx="1">
                  <c:v>117</c:v>
                </c:pt>
                <c:pt idx="2">
                  <c:v>67</c:v>
                </c:pt>
                <c:pt idx="3">
                  <c:v>66.3</c:v>
                </c:pt>
                <c:pt idx="4">
                  <c:v>65.3</c:v>
                </c:pt>
                <c:pt idx="5">
                  <c:v>62.3</c:v>
                </c:pt>
                <c:pt idx="6">
                  <c:v>16</c:v>
                </c:pt>
                <c:pt idx="7">
                  <c:v>19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FE-49B9-9791-F91832165BAD}"/>
            </c:ext>
          </c:extLst>
        </c:ser>
        <c:ser>
          <c:idx val="2"/>
          <c:order val="2"/>
          <c:tx>
            <c:strRef>
              <c:f>'TIG-Migatronic PI 250'!$Q$4</c:f>
              <c:strCache>
                <c:ptCount val="1"/>
                <c:pt idx="0">
                  <c:v>Tid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('TIG-Migatronic PI 250'!$Q$5:$Q$10,'TIG-Migatronic PI 250'!$Q$12:$Q$16)</c:f>
              <c:numCache>
                <c:formatCode>General</c:formatCode>
                <c:ptCount val="11"/>
                <c:pt idx="0">
                  <c:v>147</c:v>
                </c:pt>
                <c:pt idx="1">
                  <c:v>343</c:v>
                </c:pt>
                <c:pt idx="2">
                  <c:v>190</c:v>
                </c:pt>
                <c:pt idx="3">
                  <c:v>195</c:v>
                </c:pt>
                <c:pt idx="4">
                  <c:v>196</c:v>
                </c:pt>
                <c:pt idx="5">
                  <c:v>198</c:v>
                </c:pt>
                <c:pt idx="6">
                  <c:v>50</c:v>
                </c:pt>
                <c:pt idx="7">
                  <c:v>60</c:v>
                </c:pt>
                <c:pt idx="8">
                  <c:v>48</c:v>
                </c:pt>
                <c:pt idx="9">
                  <c:v>50</c:v>
                </c:pt>
                <c:pt idx="10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FE-49B9-9791-F91832165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557968"/>
        <c:axId val="737559888"/>
      </c:lineChart>
      <c:lineChart>
        <c:grouping val="standard"/>
        <c:varyColors val="0"/>
        <c:ser>
          <c:idx val="1"/>
          <c:order val="0"/>
          <c:tx>
            <c:strRef>
              <c:f>'TIG-Migatronic PI 250'!$F$4</c:f>
              <c:strCache>
                <c:ptCount val="1"/>
                <c:pt idx="0">
                  <c:v>A mål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('Kemppi Master M205'!$A$6:$A$9,'Kemppi Master M205'!$A$11:$A$15)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</c:numCache>
            </c:numRef>
          </c:cat>
          <c:val>
            <c:numRef>
              <c:f>('TIG-Migatronic PI 250'!$F$6:$F$10,'TIG-Migatronic PI 250'!$F$12:$F$16)</c:f>
              <c:numCache>
                <c:formatCode>General</c:formatCode>
                <c:ptCount val="1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FE-49B9-9791-F91832165BAD}"/>
            </c:ext>
          </c:extLst>
        </c:ser>
        <c:ser>
          <c:idx val="3"/>
          <c:order val="3"/>
          <c:tx>
            <c:strRef>
              <c:f>'TIG-Migatronic PI 250'!$R$4</c:f>
              <c:strCache>
                <c:ptCount val="1"/>
                <c:pt idx="0">
                  <c:v>WH/Sek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val>
            <c:numRef>
              <c:f>('TIG-Migatronic PI 250'!$R$5:$R$9,'TIG-Migatronic PI 250'!$R$10,'TIG-Migatronic PI 250'!$R$12:$R$16)</c:f>
              <c:numCache>
                <c:formatCode>General</c:formatCode>
                <c:ptCount val="11"/>
                <c:pt idx="0">
                  <c:v>0.32653061224489793</c:v>
                </c:pt>
                <c:pt idx="1">
                  <c:v>0.34110787172011664</c:v>
                </c:pt>
                <c:pt idx="2">
                  <c:v>0.35263157894736841</c:v>
                </c:pt>
                <c:pt idx="3">
                  <c:v>0.33999999999999997</c:v>
                </c:pt>
                <c:pt idx="4">
                  <c:v>0.33316326530612245</c:v>
                </c:pt>
                <c:pt idx="5">
                  <c:v>0.31464646464646462</c:v>
                </c:pt>
                <c:pt idx="6">
                  <c:v>0.32</c:v>
                </c:pt>
                <c:pt idx="7">
                  <c:v>0.31666666666666665</c:v>
                </c:pt>
                <c:pt idx="8">
                  <c:v>0.33333333333333331</c:v>
                </c:pt>
                <c:pt idx="9">
                  <c:v>0.32</c:v>
                </c:pt>
                <c:pt idx="10">
                  <c:v>0.29090909090909089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FE-49B9-9791-F91832165BAD}"/>
            </c:ext>
          </c:extLst>
        </c:ser>
        <c:ser>
          <c:idx val="4"/>
          <c:order val="4"/>
          <c:tx>
            <c:strRef>
              <c:f>'TIG-Migatronic PI 250'!$U$4</c:f>
              <c:strCache>
                <c:ptCount val="1"/>
                <c:pt idx="0">
                  <c:v>Forbrug pr mm3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val>
            <c:numRef>
              <c:f>('TIG-Migatronic PI 250'!$U$5:$U$10,'TIG-Migatronic PI 250'!$U$12:$U$16)</c:f>
              <c:numCache>
                <c:formatCode>General</c:formatCode>
                <c:ptCount val="11"/>
                <c:pt idx="0">
                  <c:v>0.40404040404040403</c:v>
                </c:pt>
                <c:pt idx="1">
                  <c:v>0.15757575757575759</c:v>
                </c:pt>
                <c:pt idx="2">
                  <c:v>0.1804713804713805</c:v>
                </c:pt>
                <c:pt idx="3">
                  <c:v>0.1785858585858586</c:v>
                </c:pt>
                <c:pt idx="4">
                  <c:v>0.17589225589225591</c:v>
                </c:pt>
                <c:pt idx="5">
                  <c:v>0.16781144781144783</c:v>
                </c:pt>
                <c:pt idx="6">
                  <c:v>5.5078787878787866E-2</c:v>
                </c:pt>
                <c:pt idx="7">
                  <c:v>5.9151515151515136E-2</c:v>
                </c:pt>
                <c:pt idx="8">
                  <c:v>6.012121212121211E-2</c:v>
                </c:pt>
                <c:pt idx="9">
                  <c:v>5.3333333333333323E-2</c:v>
                </c:pt>
                <c:pt idx="10">
                  <c:v>5.5757575757575742E-2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7FE-49B9-9791-F91832165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2892624"/>
        <c:axId val="1296403248"/>
      </c:lineChart>
      <c:catAx>
        <c:axId val="73755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9888"/>
        <c:crosses val="autoZero"/>
        <c:auto val="1"/>
        <c:lblAlgn val="ctr"/>
        <c:lblOffset val="100"/>
        <c:noMultiLvlLbl val="0"/>
      </c:catAx>
      <c:valAx>
        <c:axId val="737559888"/>
        <c:scaling>
          <c:orientation val="minMax"/>
          <c:max val="3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7968"/>
        <c:crosses val="autoZero"/>
        <c:crossBetween val="between"/>
        <c:minorUnit val="2"/>
      </c:valAx>
      <c:valAx>
        <c:axId val="1296403248"/>
        <c:scaling>
          <c:logBase val="10"/>
          <c:orientation val="minMax"/>
          <c:max val="3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892624"/>
        <c:crosses val="max"/>
        <c:crossBetween val="between"/>
      </c:valAx>
      <c:catAx>
        <c:axId val="1452892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6403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1"/>
          <c:tx>
            <c:strRef>
              <c:f>'Kemppi MasterTig 235'!$O$4</c:f>
              <c:strCache>
                <c:ptCount val="1"/>
                <c:pt idx="0">
                  <c:v>Forbrug (WH)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('Kemppi MasterTig 235'!$O$7:$O$11,'Kemppi MasterTig 235'!$O$13:$O$17)</c:f>
              <c:numCache>
                <c:formatCode>General</c:formatCode>
                <c:ptCount val="10"/>
                <c:pt idx="0">
                  <c:v>78.599999999999994</c:v>
                </c:pt>
                <c:pt idx="1">
                  <c:v>82.3</c:v>
                </c:pt>
                <c:pt idx="2">
                  <c:v>75.7</c:v>
                </c:pt>
                <c:pt idx="3">
                  <c:v>73</c:v>
                </c:pt>
                <c:pt idx="4">
                  <c:v>74.599999999999994</c:v>
                </c:pt>
                <c:pt idx="5">
                  <c:v>16</c:v>
                </c:pt>
                <c:pt idx="6">
                  <c:v>19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D1-4FF5-994B-5EB26AAB7806}"/>
            </c:ext>
          </c:extLst>
        </c:ser>
        <c:ser>
          <c:idx val="2"/>
          <c:order val="2"/>
          <c:tx>
            <c:strRef>
              <c:f>'Kemppi MasterTig 235'!$Q$4</c:f>
              <c:strCache>
                <c:ptCount val="1"/>
                <c:pt idx="0">
                  <c:v>Tid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('Kemppi MasterTig 235'!$Q$7:$Q$11,'Kemppi MasterTig 235'!$Q$13:$Q$17)</c:f>
              <c:numCache>
                <c:formatCode>General</c:formatCode>
                <c:ptCount val="10"/>
                <c:pt idx="0">
                  <c:v>190</c:v>
                </c:pt>
                <c:pt idx="1">
                  <c:v>188</c:v>
                </c:pt>
                <c:pt idx="2">
                  <c:v>199</c:v>
                </c:pt>
                <c:pt idx="3">
                  <c:v>173</c:v>
                </c:pt>
                <c:pt idx="4">
                  <c:v>182</c:v>
                </c:pt>
                <c:pt idx="5">
                  <c:v>50</c:v>
                </c:pt>
                <c:pt idx="6">
                  <c:v>60</c:v>
                </c:pt>
                <c:pt idx="7">
                  <c:v>48</c:v>
                </c:pt>
                <c:pt idx="8">
                  <c:v>50</c:v>
                </c:pt>
                <c:pt idx="9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D1-4FF5-994B-5EB26AAB7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7557968"/>
        <c:axId val="737559888"/>
      </c:lineChart>
      <c:lineChart>
        <c:grouping val="standard"/>
        <c:varyColors val="0"/>
        <c:ser>
          <c:idx val="1"/>
          <c:order val="0"/>
          <c:tx>
            <c:strRef>
              <c:f>'Kemppi MasterTig 235'!$F$4</c:f>
              <c:strCache>
                <c:ptCount val="1"/>
                <c:pt idx="0">
                  <c:v>A mål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('Kemppi Master M205'!$A$6:$A$9,'Kemppi Master M205'!$A$11:$A$15)</c:f>
              <c:numCache>
                <c:formatCode>General</c:formatCode>
                <c:ptCount val="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</c:numCache>
            </c:numRef>
          </c:cat>
          <c:val>
            <c:numRef>
              <c:f>('Kemppi MasterTig 235'!$F$7:$F$11,'Kemppi MasterTig 235'!$F$13:$F$17)</c:f>
              <c:numCache>
                <c:formatCode>General</c:formatCode>
                <c:ptCount val="10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D1-4FF5-994B-5EB26AAB7806}"/>
            </c:ext>
          </c:extLst>
        </c:ser>
        <c:ser>
          <c:idx val="3"/>
          <c:order val="3"/>
          <c:tx>
            <c:strRef>
              <c:f>'Kemppi MasterTig 235'!$R$4</c:f>
              <c:strCache>
                <c:ptCount val="1"/>
                <c:pt idx="0">
                  <c:v>WH/Sek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val>
            <c:numRef>
              <c:f>('Kemppi MasterTig 235'!$R$7:$R$11,'Kemppi MasterTig 235'!$R$13:$R$17)</c:f>
              <c:numCache>
                <c:formatCode>General</c:formatCode>
                <c:ptCount val="10"/>
                <c:pt idx="0">
                  <c:v>0.41368421052631577</c:v>
                </c:pt>
                <c:pt idx="1">
                  <c:v>0.43776595744680852</c:v>
                </c:pt>
                <c:pt idx="2">
                  <c:v>0.38040201005025126</c:v>
                </c:pt>
                <c:pt idx="3">
                  <c:v>0.42196531791907516</c:v>
                </c:pt>
                <c:pt idx="4">
                  <c:v>0.40989010989010988</c:v>
                </c:pt>
                <c:pt idx="5">
                  <c:v>0.32</c:v>
                </c:pt>
                <c:pt idx="6">
                  <c:v>0.31666666666666665</c:v>
                </c:pt>
                <c:pt idx="7">
                  <c:v>0.33333333333333331</c:v>
                </c:pt>
                <c:pt idx="8">
                  <c:v>0.32</c:v>
                </c:pt>
                <c:pt idx="9">
                  <c:v>0.29090909090909089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7D1-4FF5-994B-5EB26AAB7806}"/>
            </c:ext>
          </c:extLst>
        </c:ser>
        <c:ser>
          <c:idx val="4"/>
          <c:order val="4"/>
          <c:tx>
            <c:strRef>
              <c:f>'Kemppi MasterTig 235'!$U$4</c:f>
              <c:strCache>
                <c:ptCount val="1"/>
                <c:pt idx="0">
                  <c:v>Forbrug pr mm3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val>
            <c:numRef>
              <c:f>('Kemppi MasterTig 235'!$U$7:$U$11,'Kemppi MasterTig 235'!$U$13:$U$17)</c:f>
              <c:numCache>
                <c:formatCode>General</c:formatCode>
                <c:ptCount val="10"/>
                <c:pt idx="0">
                  <c:v>0.10585858585858586</c:v>
                </c:pt>
                <c:pt idx="1">
                  <c:v>0.11084175084175085</c:v>
                </c:pt>
                <c:pt idx="2">
                  <c:v>0.10195286195286198</c:v>
                </c:pt>
                <c:pt idx="3">
                  <c:v>9.831649831649833E-2</c:v>
                </c:pt>
                <c:pt idx="4">
                  <c:v>0.10047138047138048</c:v>
                </c:pt>
                <c:pt idx="5">
                  <c:v>5.9151515151515136E-2</c:v>
                </c:pt>
                <c:pt idx="6">
                  <c:v>6.012121212121211E-2</c:v>
                </c:pt>
                <c:pt idx="7">
                  <c:v>5.3333333333333323E-2</c:v>
                </c:pt>
                <c:pt idx="8">
                  <c:v>5.5757575757575742E-2</c:v>
                </c:pt>
                <c:pt idx="9">
                  <c:v>5.6688484848484835E-2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7D1-4FF5-994B-5EB26AAB7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2892624"/>
        <c:axId val="1296403248"/>
      </c:lineChart>
      <c:catAx>
        <c:axId val="73755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9888"/>
        <c:crosses val="autoZero"/>
        <c:auto val="1"/>
        <c:lblAlgn val="ctr"/>
        <c:lblOffset val="100"/>
        <c:noMultiLvlLbl val="0"/>
      </c:catAx>
      <c:valAx>
        <c:axId val="737559888"/>
        <c:scaling>
          <c:orientation val="minMax"/>
          <c:max val="2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557968"/>
        <c:crosses val="autoZero"/>
        <c:crossBetween val="between"/>
        <c:minorUnit val="2"/>
      </c:valAx>
      <c:valAx>
        <c:axId val="1296403248"/>
        <c:scaling>
          <c:logBase val="10"/>
          <c:orientation val="minMax"/>
          <c:max val="3"/>
          <c:min val="1.0000000000000002E-2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892624"/>
        <c:crosses val="max"/>
        <c:crossBetween val="between"/>
      </c:valAx>
      <c:catAx>
        <c:axId val="1452892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64032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255682</xdr:colOff>
      <xdr:row>4</xdr:row>
      <xdr:rowOff>107631</xdr:rowOff>
    </xdr:from>
    <xdr:to>
      <xdr:col>15</xdr:col>
      <xdr:colOff>12597</xdr:colOff>
      <xdr:row>12</xdr:row>
      <xdr:rowOff>46671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4D2AF95C-C576-3D91-96AE-2A9238708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231" b="8231"/>
        <a:stretch/>
      </xdr:blipFill>
      <xdr:spPr>
        <a:xfrm>
          <a:off x="6723157" y="1203006"/>
          <a:ext cx="8291315" cy="1939290"/>
        </a:xfrm>
        <a:prstGeom prst="roundRect">
          <a:avLst>
            <a:gd name="adj" fmla="val 4167"/>
          </a:avLst>
        </a:prstGeom>
        <a:solidFill>
          <a:srgbClr val="FFFFFF"/>
        </a:solidFill>
        <a:ln w="76200" cap="sq">
          <a:solidFill>
            <a:srgbClr val="292929"/>
          </a:solidFill>
          <a:miter lim="800000"/>
        </a:ln>
        <a:effectLst>
          <a:reflection blurRad="12700" stA="28000" endPos="28000" dist="5000" dir="5400000" sy="-100000" algn="bl" rotWithShape="0"/>
        </a:effectLst>
        <a:scene3d>
          <a:camera prst="orthographicFront"/>
          <a:lightRig rig="threePt" dir="t">
            <a:rot lat="0" lon="0" rev="2700000"/>
          </a:lightRig>
        </a:scene3d>
        <a:sp3d>
          <a:bevelT h="38100"/>
          <a:contourClr>
            <a:srgbClr val="C0C0C0"/>
          </a:contourClr>
        </a:sp3d>
      </xdr:spPr>
    </xdr:pic>
    <xdr:clientData/>
  </xdr:twoCellAnchor>
  <xdr:twoCellAnchor>
    <xdr:from>
      <xdr:col>0</xdr:col>
      <xdr:colOff>4381500</xdr:colOff>
      <xdr:row>6</xdr:row>
      <xdr:rowOff>476250</xdr:rowOff>
    </xdr:from>
    <xdr:to>
      <xdr:col>1</xdr:col>
      <xdr:colOff>529590</xdr:colOff>
      <xdr:row>6</xdr:row>
      <xdr:rowOff>515086</xdr:rowOff>
    </xdr:to>
    <xdr:cxnSp macro="">
      <xdr:nvCxnSpPr>
        <xdr:cNvPr id="7" name="Lige pilforbindelse 6">
          <a:extLst>
            <a:ext uri="{FF2B5EF4-FFF2-40B4-BE49-F238E27FC236}">
              <a16:creationId xmlns:a16="http://schemas.microsoft.com/office/drawing/2014/main" id="{67D4761C-3DA1-4977-B4D5-622225CB1950}"/>
            </a:ext>
          </a:extLst>
        </xdr:cNvPr>
        <xdr:cNvCxnSpPr/>
      </xdr:nvCxnSpPr>
      <xdr:spPr>
        <a:xfrm>
          <a:off x="4381500" y="1933575"/>
          <a:ext cx="2615565" cy="38836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6457453</xdr:colOff>
      <xdr:row>6</xdr:row>
      <xdr:rowOff>51923</xdr:rowOff>
    </xdr:from>
    <xdr:to>
      <xdr:col>9</xdr:col>
      <xdr:colOff>198120</xdr:colOff>
      <xdr:row>6</xdr:row>
      <xdr:rowOff>156757</xdr:rowOff>
    </xdr:to>
    <xdr:cxnSp macro="">
      <xdr:nvCxnSpPr>
        <xdr:cNvPr id="11" name="Lige pilforbindelse 10">
          <a:extLst>
            <a:ext uri="{FF2B5EF4-FFF2-40B4-BE49-F238E27FC236}">
              <a16:creationId xmlns:a16="http://schemas.microsoft.com/office/drawing/2014/main" id="{366CDB43-F47A-42DA-84AD-4D623C93A660}"/>
            </a:ext>
          </a:extLst>
        </xdr:cNvPr>
        <xdr:cNvCxnSpPr/>
      </xdr:nvCxnSpPr>
      <xdr:spPr>
        <a:xfrm flipV="1">
          <a:off x="6457453" y="1509248"/>
          <a:ext cx="5084942" cy="104834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3638550</xdr:colOff>
      <xdr:row>6</xdr:row>
      <xdr:rowOff>459105</xdr:rowOff>
    </xdr:from>
    <xdr:to>
      <xdr:col>10</xdr:col>
      <xdr:colOff>382905</xdr:colOff>
      <xdr:row>8</xdr:row>
      <xdr:rowOff>114300</xdr:rowOff>
    </xdr:to>
    <xdr:cxnSp macro="">
      <xdr:nvCxnSpPr>
        <xdr:cNvPr id="25" name="Forbindelse: buet 24">
          <a:extLst>
            <a:ext uri="{FF2B5EF4-FFF2-40B4-BE49-F238E27FC236}">
              <a16:creationId xmlns:a16="http://schemas.microsoft.com/office/drawing/2014/main" id="{3316DD75-6C22-ED48-104A-440BD4EFB338}"/>
            </a:ext>
          </a:extLst>
        </xdr:cNvPr>
        <xdr:cNvCxnSpPr/>
      </xdr:nvCxnSpPr>
      <xdr:spPr>
        <a:xfrm flipV="1">
          <a:off x="3638550" y="1916430"/>
          <a:ext cx="8698230" cy="388620"/>
        </a:xfrm>
        <a:prstGeom prst="curvedConnector3">
          <a:avLst>
            <a:gd name="adj1" fmla="val 50000"/>
          </a:avLst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6457452</xdr:colOff>
      <xdr:row>8</xdr:row>
      <xdr:rowOff>85725</xdr:rowOff>
    </xdr:from>
    <xdr:to>
      <xdr:col>4</xdr:col>
      <xdr:colOff>485775</xdr:colOff>
      <xdr:row>10</xdr:row>
      <xdr:rowOff>149623</xdr:rowOff>
    </xdr:to>
    <xdr:cxnSp macro="">
      <xdr:nvCxnSpPr>
        <xdr:cNvPr id="30" name="Lige pilforbindelse 29">
          <a:extLst>
            <a:ext uri="{FF2B5EF4-FFF2-40B4-BE49-F238E27FC236}">
              <a16:creationId xmlns:a16="http://schemas.microsoft.com/office/drawing/2014/main" id="{D98C14DC-EA34-1E02-D128-5F81009D2D29}"/>
            </a:ext>
          </a:extLst>
        </xdr:cNvPr>
        <xdr:cNvCxnSpPr/>
      </xdr:nvCxnSpPr>
      <xdr:spPr>
        <a:xfrm flipV="1">
          <a:off x="6457452" y="2276475"/>
          <a:ext cx="2324598" cy="425848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3486150</xdr:colOff>
      <xdr:row>17</xdr:row>
      <xdr:rowOff>0</xdr:rowOff>
    </xdr:from>
    <xdr:to>
      <xdr:col>11</xdr:col>
      <xdr:colOff>592455</xdr:colOff>
      <xdr:row>25</xdr:row>
      <xdr:rowOff>154287</xdr:rowOff>
    </xdr:to>
    <xdr:grpSp>
      <xdr:nvGrpSpPr>
        <xdr:cNvPr id="45" name="Gruppe 44">
          <a:extLst>
            <a:ext uri="{FF2B5EF4-FFF2-40B4-BE49-F238E27FC236}">
              <a16:creationId xmlns:a16="http://schemas.microsoft.com/office/drawing/2014/main" id="{60A093EC-D35F-3FDA-55F3-339550A8B829}"/>
            </a:ext>
          </a:extLst>
        </xdr:cNvPr>
        <xdr:cNvGrpSpPr/>
      </xdr:nvGrpSpPr>
      <xdr:grpSpPr>
        <a:xfrm>
          <a:off x="3486150" y="4029808"/>
          <a:ext cx="9794093" cy="1986017"/>
          <a:chOff x="3486150" y="4000500"/>
          <a:chExt cx="9669780" cy="1964037"/>
        </a:xfrm>
      </xdr:grpSpPr>
      <xdr:pic>
        <xdr:nvPicPr>
          <xdr:cNvPr id="39" name="Billede 38">
            <a:extLst>
              <a:ext uri="{FF2B5EF4-FFF2-40B4-BE49-F238E27FC236}">
                <a16:creationId xmlns:a16="http://schemas.microsoft.com/office/drawing/2014/main" id="{63C36DDA-73C0-EAB0-4BFF-5B0574E4C78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52" b="52"/>
          <a:stretch/>
        </xdr:blipFill>
        <xdr:spPr>
          <a:xfrm>
            <a:off x="6456045" y="4000500"/>
            <a:ext cx="6696075" cy="1964037"/>
          </a:xfrm>
          <a:prstGeom prst="roundRect">
            <a:avLst>
              <a:gd name="adj" fmla="val 4167"/>
            </a:avLst>
          </a:prstGeom>
          <a:solidFill>
            <a:srgbClr val="FFFFFF"/>
          </a:solidFill>
          <a:ln w="76200" cap="sq">
            <a:solidFill>
              <a:srgbClr val="292929"/>
            </a:solidFill>
            <a:miter lim="800000"/>
          </a:ln>
          <a:effectLst>
            <a:reflection blurRad="12700" stA="28000" endPos="28000" dist="5000" dir="5400000" sy="-100000" algn="bl" rotWithShape="0"/>
          </a:effectLst>
          <a:scene3d>
            <a:camera prst="orthographicFront"/>
            <a:lightRig rig="threePt" dir="t">
              <a:rot lat="0" lon="0" rev="2700000"/>
            </a:lightRig>
          </a:scene3d>
          <a:sp3d>
            <a:bevelT h="38100"/>
            <a:contourClr>
              <a:srgbClr val="C0C0C0"/>
            </a:contourClr>
          </a:sp3d>
        </xdr:spPr>
      </xdr:pic>
      <xdr:cxnSp macro="">
        <xdr:nvCxnSpPr>
          <xdr:cNvPr id="41" name="Lige pilforbindelse 40">
            <a:extLst>
              <a:ext uri="{FF2B5EF4-FFF2-40B4-BE49-F238E27FC236}">
                <a16:creationId xmlns:a16="http://schemas.microsoft.com/office/drawing/2014/main" id="{9AE3645B-82A4-03FE-3DB5-DFB24BBABC00}"/>
              </a:ext>
            </a:extLst>
          </xdr:cNvPr>
          <xdr:cNvCxnSpPr/>
        </xdr:nvCxnSpPr>
        <xdr:spPr>
          <a:xfrm>
            <a:off x="3482340" y="4457700"/>
            <a:ext cx="3171825" cy="94297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44" name="Lige pilforbindelse 43">
            <a:extLst>
              <a:ext uri="{FF2B5EF4-FFF2-40B4-BE49-F238E27FC236}">
                <a16:creationId xmlns:a16="http://schemas.microsoft.com/office/drawing/2014/main" id="{087486F3-2747-3F41-8120-1277EF3265B9}"/>
              </a:ext>
            </a:extLst>
          </xdr:cNvPr>
          <xdr:cNvCxnSpPr/>
        </xdr:nvCxnSpPr>
        <xdr:spPr>
          <a:xfrm flipV="1">
            <a:off x="6320790" y="4457700"/>
            <a:ext cx="5873115" cy="33337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4930140</xdr:colOff>
      <xdr:row>30</xdr:row>
      <xdr:rowOff>0</xdr:rowOff>
    </xdr:from>
    <xdr:to>
      <xdr:col>9</xdr:col>
      <xdr:colOff>457944</xdr:colOff>
      <xdr:row>36</xdr:row>
      <xdr:rowOff>38282</xdr:rowOff>
    </xdr:to>
    <xdr:grpSp>
      <xdr:nvGrpSpPr>
        <xdr:cNvPr id="52" name="Gruppe 51">
          <a:extLst>
            <a:ext uri="{FF2B5EF4-FFF2-40B4-BE49-F238E27FC236}">
              <a16:creationId xmlns:a16="http://schemas.microsoft.com/office/drawing/2014/main" id="{52F98B3F-CDC6-04AC-BECE-674E54D49856}"/>
            </a:ext>
          </a:extLst>
        </xdr:cNvPr>
        <xdr:cNvGrpSpPr/>
      </xdr:nvGrpSpPr>
      <xdr:grpSpPr>
        <a:xfrm>
          <a:off x="4930140" y="6777404"/>
          <a:ext cx="6994439" cy="1320493"/>
          <a:chOff x="4930140" y="6715125"/>
          <a:chExt cx="6872079" cy="1305107"/>
        </a:xfrm>
      </xdr:grpSpPr>
      <xdr:pic>
        <xdr:nvPicPr>
          <xdr:cNvPr id="47" name="Billede 46">
            <a:extLst>
              <a:ext uri="{FF2B5EF4-FFF2-40B4-BE49-F238E27FC236}">
                <a16:creationId xmlns:a16="http://schemas.microsoft.com/office/drawing/2014/main" id="{C7DA9383-8A42-B761-B83B-311DB2E7D28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6467475" y="6715125"/>
            <a:ext cx="5334744" cy="1305107"/>
          </a:xfrm>
          <a:prstGeom prst="rect">
            <a:avLst/>
          </a:prstGeom>
          <a:ln w="38100" cap="sq">
            <a:solidFill>
              <a:srgbClr val="000000"/>
            </a:solidFill>
            <a:prstDash val="solid"/>
            <a:miter lim="800000"/>
          </a:ln>
          <a:effectLst>
            <a:outerShdw blurRad="50800" dist="38100" dir="2700000" algn="tl" rotWithShape="0">
              <a:srgbClr val="000000">
                <a:alpha val="43000"/>
              </a:srgbClr>
            </a:outerShdw>
          </a:effectLst>
        </xdr:spPr>
      </xdr:pic>
      <xdr:cxnSp macro="">
        <xdr:nvCxnSpPr>
          <xdr:cNvPr id="49" name="Lige pilforbindelse 48">
            <a:extLst>
              <a:ext uri="{FF2B5EF4-FFF2-40B4-BE49-F238E27FC236}">
                <a16:creationId xmlns:a16="http://schemas.microsoft.com/office/drawing/2014/main" id="{85678D82-46FB-98F7-3033-CF5EA84C836F}"/>
              </a:ext>
            </a:extLst>
          </xdr:cNvPr>
          <xdr:cNvCxnSpPr/>
        </xdr:nvCxnSpPr>
        <xdr:spPr>
          <a:xfrm>
            <a:off x="4930140" y="6958965"/>
            <a:ext cx="5450205" cy="42481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50" name="Lige pilforbindelse 49">
            <a:extLst>
              <a:ext uri="{FF2B5EF4-FFF2-40B4-BE49-F238E27FC236}">
                <a16:creationId xmlns:a16="http://schemas.microsoft.com/office/drawing/2014/main" id="{FE7C1985-ECBC-41D1-800F-112A5CE59211}"/>
              </a:ext>
            </a:extLst>
          </xdr:cNvPr>
          <xdr:cNvCxnSpPr/>
        </xdr:nvCxnSpPr>
        <xdr:spPr>
          <a:xfrm>
            <a:off x="4933950" y="6962775"/>
            <a:ext cx="2996565" cy="8382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2301240</xdr:colOff>
      <xdr:row>38</xdr:row>
      <xdr:rowOff>0</xdr:rowOff>
    </xdr:from>
    <xdr:to>
      <xdr:col>6</xdr:col>
      <xdr:colOff>392535</xdr:colOff>
      <xdr:row>52</xdr:row>
      <xdr:rowOff>129540</xdr:rowOff>
    </xdr:to>
    <xdr:grpSp>
      <xdr:nvGrpSpPr>
        <xdr:cNvPr id="68" name="Gruppe 67">
          <a:extLst>
            <a:ext uri="{FF2B5EF4-FFF2-40B4-BE49-F238E27FC236}">
              <a16:creationId xmlns:a16="http://schemas.microsoft.com/office/drawing/2014/main" id="{9E2C713A-70EF-169E-9CBA-F6499C812DED}"/>
            </a:ext>
          </a:extLst>
        </xdr:cNvPr>
        <xdr:cNvGrpSpPr/>
      </xdr:nvGrpSpPr>
      <xdr:grpSpPr>
        <a:xfrm>
          <a:off x="2301240" y="8425962"/>
          <a:ext cx="7726199" cy="2693963"/>
          <a:chOff x="2301240" y="8343900"/>
          <a:chExt cx="7606770" cy="2663190"/>
        </a:xfrm>
      </xdr:grpSpPr>
      <xdr:pic>
        <xdr:nvPicPr>
          <xdr:cNvPr id="53" name="Billede 52">
            <a:extLst>
              <a:ext uri="{FF2B5EF4-FFF2-40B4-BE49-F238E27FC236}">
                <a16:creationId xmlns:a16="http://schemas.microsoft.com/office/drawing/2014/main" id="{0DE3F582-16DD-B086-E1E4-4C693F27167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6467475" y="8343900"/>
            <a:ext cx="3440535" cy="2663190"/>
          </a:xfrm>
          <a:prstGeom prst="rect">
            <a:avLst/>
          </a:prstGeom>
        </xdr:spPr>
      </xdr:pic>
      <xdr:cxnSp macro="">
        <xdr:nvCxnSpPr>
          <xdr:cNvPr id="55" name="Lige pilforbindelse 54">
            <a:extLst>
              <a:ext uri="{FF2B5EF4-FFF2-40B4-BE49-F238E27FC236}">
                <a16:creationId xmlns:a16="http://schemas.microsoft.com/office/drawing/2014/main" id="{945904D9-7293-EF54-B47E-D0CA63971323}"/>
              </a:ext>
            </a:extLst>
          </xdr:cNvPr>
          <xdr:cNvCxnSpPr/>
        </xdr:nvCxnSpPr>
        <xdr:spPr>
          <a:xfrm>
            <a:off x="2301240" y="8446770"/>
            <a:ext cx="4253865" cy="20764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4812030</xdr:colOff>
      <xdr:row>54</xdr:row>
      <xdr:rowOff>86390</xdr:rowOff>
    </xdr:from>
    <xdr:to>
      <xdr:col>4</xdr:col>
      <xdr:colOff>320040</xdr:colOff>
      <xdr:row>62</xdr:row>
      <xdr:rowOff>117444</xdr:rowOff>
    </xdr:to>
    <xdr:grpSp>
      <xdr:nvGrpSpPr>
        <xdr:cNvPr id="82" name="Gruppe 81">
          <a:extLst>
            <a:ext uri="{FF2B5EF4-FFF2-40B4-BE49-F238E27FC236}">
              <a16:creationId xmlns:a16="http://schemas.microsoft.com/office/drawing/2014/main" id="{2B62FDCA-CA39-17F6-0FCE-FAB8FFBC8353}"/>
            </a:ext>
          </a:extLst>
        </xdr:cNvPr>
        <xdr:cNvGrpSpPr/>
      </xdr:nvGrpSpPr>
      <xdr:grpSpPr>
        <a:xfrm>
          <a:off x="4812030" y="11443121"/>
          <a:ext cx="3921760" cy="1679611"/>
          <a:chOff x="4812030" y="11325890"/>
          <a:chExt cx="3804285" cy="1659829"/>
        </a:xfrm>
      </xdr:grpSpPr>
      <xdr:pic>
        <xdr:nvPicPr>
          <xdr:cNvPr id="56" name="Billede 55">
            <a:extLst>
              <a:ext uri="{FF2B5EF4-FFF2-40B4-BE49-F238E27FC236}">
                <a16:creationId xmlns:a16="http://schemas.microsoft.com/office/drawing/2014/main" id="{AE91541E-B45E-C929-2F88-48AFC08B042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6469222" y="11325890"/>
            <a:ext cx="2147093" cy="1659829"/>
          </a:xfrm>
          <a:prstGeom prst="rect">
            <a:avLst/>
          </a:prstGeom>
        </xdr:spPr>
      </xdr:pic>
      <xdr:cxnSp macro="">
        <xdr:nvCxnSpPr>
          <xdr:cNvPr id="58" name="Lige pilforbindelse 57">
            <a:extLst>
              <a:ext uri="{FF2B5EF4-FFF2-40B4-BE49-F238E27FC236}">
                <a16:creationId xmlns:a16="http://schemas.microsoft.com/office/drawing/2014/main" id="{168937C3-4049-78BA-2555-9E7C64CC9471}"/>
              </a:ext>
            </a:extLst>
          </xdr:cNvPr>
          <xdr:cNvCxnSpPr/>
        </xdr:nvCxnSpPr>
        <xdr:spPr>
          <a:xfrm>
            <a:off x="5981700" y="11378565"/>
            <a:ext cx="1036687" cy="205039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59" name="Lige pilforbindelse 58">
            <a:extLst>
              <a:ext uri="{FF2B5EF4-FFF2-40B4-BE49-F238E27FC236}">
                <a16:creationId xmlns:a16="http://schemas.microsoft.com/office/drawing/2014/main" id="{4721E5A6-CA9F-4736-91ED-29F3B512BDF1}"/>
              </a:ext>
            </a:extLst>
          </xdr:cNvPr>
          <xdr:cNvCxnSpPr/>
        </xdr:nvCxnSpPr>
        <xdr:spPr>
          <a:xfrm>
            <a:off x="4812030" y="11896725"/>
            <a:ext cx="2152969" cy="739476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6465462</xdr:colOff>
      <xdr:row>64</xdr:row>
      <xdr:rowOff>5715</xdr:rowOff>
    </xdr:from>
    <xdr:to>
      <xdr:col>7</xdr:col>
      <xdr:colOff>247885</xdr:colOff>
      <xdr:row>74</xdr:row>
      <xdr:rowOff>167917</xdr:rowOff>
    </xdr:to>
    <xdr:pic>
      <xdr:nvPicPr>
        <xdr:cNvPr id="63" name="Billede 62">
          <a:extLst>
            <a:ext uri="{FF2B5EF4-FFF2-40B4-BE49-F238E27FC236}">
              <a16:creationId xmlns:a16="http://schemas.microsoft.com/office/drawing/2014/main" id="{E658E3D8-29BB-8D78-6118-313A10284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5462" y="13235940"/>
          <a:ext cx="3907498" cy="1971952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>
    <xdr:from>
      <xdr:col>0</xdr:col>
      <xdr:colOff>5088255</xdr:colOff>
      <xdr:row>62</xdr:row>
      <xdr:rowOff>129540</xdr:rowOff>
    </xdr:from>
    <xdr:to>
      <xdr:col>1</xdr:col>
      <xdr:colOff>400050</xdr:colOff>
      <xdr:row>69</xdr:row>
      <xdr:rowOff>142875</xdr:rowOff>
    </xdr:to>
    <xdr:cxnSp macro="">
      <xdr:nvCxnSpPr>
        <xdr:cNvPr id="65" name="Lige pilforbindelse 64">
          <a:extLst>
            <a:ext uri="{FF2B5EF4-FFF2-40B4-BE49-F238E27FC236}">
              <a16:creationId xmlns:a16="http://schemas.microsoft.com/office/drawing/2014/main" id="{476A77B4-42CD-04DB-D795-31EAACE787AE}"/>
            </a:ext>
          </a:extLst>
        </xdr:cNvPr>
        <xdr:cNvCxnSpPr/>
      </xdr:nvCxnSpPr>
      <xdr:spPr>
        <a:xfrm>
          <a:off x="5088255" y="12997815"/>
          <a:ext cx="1779270" cy="12801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5779770</xdr:colOff>
      <xdr:row>78</xdr:row>
      <xdr:rowOff>0</xdr:rowOff>
    </xdr:from>
    <xdr:to>
      <xdr:col>5</xdr:col>
      <xdr:colOff>285105</xdr:colOff>
      <xdr:row>80</xdr:row>
      <xdr:rowOff>152400</xdr:rowOff>
    </xdr:to>
    <xdr:grpSp>
      <xdr:nvGrpSpPr>
        <xdr:cNvPr id="87" name="Gruppe 86">
          <a:extLst>
            <a:ext uri="{FF2B5EF4-FFF2-40B4-BE49-F238E27FC236}">
              <a16:creationId xmlns:a16="http://schemas.microsoft.com/office/drawing/2014/main" id="{716426C2-96D8-74F5-C8B0-1CEA74674F77}"/>
            </a:ext>
          </a:extLst>
        </xdr:cNvPr>
        <xdr:cNvGrpSpPr/>
      </xdr:nvGrpSpPr>
      <xdr:grpSpPr>
        <a:xfrm>
          <a:off x="5779770" y="15936058"/>
          <a:ext cx="3529662" cy="701919"/>
          <a:chOff x="5779770" y="15763875"/>
          <a:chExt cx="3411210" cy="695325"/>
        </a:xfrm>
      </xdr:grpSpPr>
      <xdr:pic>
        <xdr:nvPicPr>
          <xdr:cNvPr id="84" name="Billede 83">
            <a:extLst>
              <a:ext uri="{FF2B5EF4-FFF2-40B4-BE49-F238E27FC236}">
                <a16:creationId xmlns:a16="http://schemas.microsoft.com/office/drawing/2014/main" id="{0D841A78-6128-C1CD-1EA2-D40AE9569CB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/>
          <a:stretch>
            <a:fillRect/>
          </a:stretch>
        </xdr:blipFill>
        <xdr:spPr>
          <a:xfrm>
            <a:off x="6467475" y="15763875"/>
            <a:ext cx="2723505" cy="695325"/>
          </a:xfrm>
          <a:prstGeom prst="rect">
            <a:avLst/>
          </a:prstGeom>
        </xdr:spPr>
      </xdr:pic>
      <xdr:cxnSp macro="">
        <xdr:nvCxnSpPr>
          <xdr:cNvPr id="86" name="Lige pilforbindelse 85">
            <a:extLst>
              <a:ext uri="{FF2B5EF4-FFF2-40B4-BE49-F238E27FC236}">
                <a16:creationId xmlns:a16="http://schemas.microsoft.com/office/drawing/2014/main" id="{EBBF94A2-D7D9-1FA9-A629-3ECCD3121FB4}"/>
              </a:ext>
            </a:extLst>
          </xdr:cNvPr>
          <xdr:cNvCxnSpPr/>
        </xdr:nvCxnSpPr>
        <xdr:spPr>
          <a:xfrm>
            <a:off x="5779770" y="15904845"/>
            <a:ext cx="2962275" cy="17526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2068830</xdr:colOff>
      <xdr:row>83</xdr:row>
      <xdr:rowOff>0</xdr:rowOff>
    </xdr:from>
    <xdr:to>
      <xdr:col>5</xdr:col>
      <xdr:colOff>198120</xdr:colOff>
      <xdr:row>94</xdr:row>
      <xdr:rowOff>53340</xdr:rowOff>
    </xdr:to>
    <xdr:grpSp>
      <xdr:nvGrpSpPr>
        <xdr:cNvPr id="91" name="Gruppe 90">
          <a:extLst>
            <a:ext uri="{FF2B5EF4-FFF2-40B4-BE49-F238E27FC236}">
              <a16:creationId xmlns:a16="http://schemas.microsoft.com/office/drawing/2014/main" id="{B28326D4-1E0D-169A-4C7F-693138E72CF7}"/>
            </a:ext>
          </a:extLst>
        </xdr:cNvPr>
        <xdr:cNvGrpSpPr/>
      </xdr:nvGrpSpPr>
      <xdr:grpSpPr>
        <a:xfrm>
          <a:off x="2068830" y="17035096"/>
          <a:ext cx="7153617" cy="2068244"/>
          <a:chOff x="2068830" y="16849725"/>
          <a:chExt cx="7035165" cy="2044065"/>
        </a:xfrm>
      </xdr:grpSpPr>
      <xdr:pic>
        <xdr:nvPicPr>
          <xdr:cNvPr id="88" name="Billede 87">
            <a:extLst>
              <a:ext uri="{FF2B5EF4-FFF2-40B4-BE49-F238E27FC236}">
                <a16:creationId xmlns:a16="http://schemas.microsoft.com/office/drawing/2014/main" id="{2E5C8AAD-8CE5-94BD-3B0E-740B9F7B227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/>
          <a:stretch>
            <a:fillRect/>
          </a:stretch>
        </xdr:blipFill>
        <xdr:spPr>
          <a:xfrm>
            <a:off x="6467475" y="16849725"/>
            <a:ext cx="2636520" cy="2044065"/>
          </a:xfrm>
          <a:prstGeom prst="rect">
            <a:avLst/>
          </a:prstGeom>
        </xdr:spPr>
      </xdr:pic>
      <xdr:cxnSp macro="">
        <xdr:nvCxnSpPr>
          <xdr:cNvPr id="90" name="Lige pilforbindelse 89">
            <a:extLst>
              <a:ext uri="{FF2B5EF4-FFF2-40B4-BE49-F238E27FC236}">
                <a16:creationId xmlns:a16="http://schemas.microsoft.com/office/drawing/2014/main" id="{4E2267E4-3D83-BC86-C46C-361DFC5148C4}"/>
              </a:ext>
            </a:extLst>
          </xdr:cNvPr>
          <xdr:cNvCxnSpPr/>
        </xdr:nvCxnSpPr>
        <xdr:spPr>
          <a:xfrm>
            <a:off x="2068830" y="16925925"/>
            <a:ext cx="4512945" cy="154305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</xdr:col>
      <xdr:colOff>1</xdr:colOff>
      <xdr:row>97</xdr:row>
      <xdr:rowOff>0</xdr:rowOff>
    </xdr:from>
    <xdr:to>
      <xdr:col>6</xdr:col>
      <xdr:colOff>130327</xdr:colOff>
      <xdr:row>105</xdr:row>
      <xdr:rowOff>163830</xdr:rowOff>
    </xdr:to>
    <xdr:pic>
      <xdr:nvPicPr>
        <xdr:cNvPr id="92" name="Billede 91">
          <a:extLst>
            <a:ext uri="{FF2B5EF4-FFF2-40B4-BE49-F238E27FC236}">
              <a16:creationId xmlns:a16="http://schemas.microsoft.com/office/drawing/2014/main" id="{7A75BC79-4D3B-E2E7-5615-0222AB58B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467476" y="19383375"/>
          <a:ext cx="3174516" cy="16097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108</xdr:row>
      <xdr:rowOff>0</xdr:rowOff>
    </xdr:from>
    <xdr:to>
      <xdr:col>11</xdr:col>
      <xdr:colOff>219956</xdr:colOff>
      <xdr:row>121</xdr:row>
      <xdr:rowOff>86065</xdr:rowOff>
    </xdr:to>
    <xdr:pic>
      <xdr:nvPicPr>
        <xdr:cNvPr id="94" name="Billede 93">
          <a:extLst>
            <a:ext uri="{FF2B5EF4-FFF2-40B4-BE49-F238E27FC236}">
              <a16:creationId xmlns:a16="http://schemas.microsoft.com/office/drawing/2014/main" id="{1BEBF4A7-3D4E-BF68-8D06-7FF44BFFA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467475" y="21374100"/>
          <a:ext cx="6315956" cy="243874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335280</xdr:colOff>
      <xdr:row>49</xdr:row>
      <xdr:rowOff>121920</xdr:rowOff>
    </xdr:from>
    <xdr:ext cx="184731" cy="264560"/>
    <xdr:sp macro="" textlink="">
      <xdr:nvSpPr>
        <xdr:cNvPr id="3" name="Tekstfelt 2">
          <a:extLst>
            <a:ext uri="{FF2B5EF4-FFF2-40B4-BE49-F238E27FC236}">
              <a16:creationId xmlns:a16="http://schemas.microsoft.com/office/drawing/2014/main" id="{24D3E409-DBD8-462E-B0C2-BBDA1B5DE3B2}"/>
            </a:ext>
          </a:extLst>
        </xdr:cNvPr>
        <xdr:cNvSpPr txBox="1"/>
      </xdr:nvSpPr>
      <xdr:spPr>
        <a:xfrm>
          <a:off x="16440150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35</xdr:row>
      <xdr:rowOff>121920</xdr:rowOff>
    </xdr:from>
    <xdr:ext cx="184731" cy="264560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00D379B9-8EA5-4C80-8169-EC4664CCA412}"/>
            </a:ext>
          </a:extLst>
        </xdr:cNvPr>
        <xdr:cNvSpPr txBox="1"/>
      </xdr:nvSpPr>
      <xdr:spPr>
        <a:xfrm>
          <a:off x="16440150" y="102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36</xdr:row>
      <xdr:rowOff>121920</xdr:rowOff>
    </xdr:from>
    <xdr:ext cx="184731" cy="26456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F8261DE2-6A67-428E-B312-E0E3237BA88D}"/>
            </a:ext>
          </a:extLst>
        </xdr:cNvPr>
        <xdr:cNvSpPr txBox="1"/>
      </xdr:nvSpPr>
      <xdr:spPr>
        <a:xfrm>
          <a:off x="22764974" y="6397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37</xdr:row>
      <xdr:rowOff>121920</xdr:rowOff>
    </xdr:from>
    <xdr:ext cx="184731" cy="264560"/>
    <xdr:sp macro="" textlink="">
      <xdr:nvSpPr>
        <xdr:cNvPr id="5" name="Tekstfelt 4">
          <a:extLst>
            <a:ext uri="{FF2B5EF4-FFF2-40B4-BE49-F238E27FC236}">
              <a16:creationId xmlns:a16="http://schemas.microsoft.com/office/drawing/2014/main" id="{B5E0021F-B542-453B-92D4-C8452C31D43D}"/>
            </a:ext>
          </a:extLst>
        </xdr:cNvPr>
        <xdr:cNvSpPr txBox="1"/>
      </xdr:nvSpPr>
      <xdr:spPr>
        <a:xfrm>
          <a:off x="22764974" y="6397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38</xdr:row>
      <xdr:rowOff>121920</xdr:rowOff>
    </xdr:from>
    <xdr:ext cx="184731" cy="264560"/>
    <xdr:sp macro="" textlink="">
      <xdr:nvSpPr>
        <xdr:cNvPr id="6" name="Tekstfelt 5">
          <a:extLst>
            <a:ext uri="{FF2B5EF4-FFF2-40B4-BE49-F238E27FC236}">
              <a16:creationId xmlns:a16="http://schemas.microsoft.com/office/drawing/2014/main" id="{8A1A736C-A2D4-4607-BA8B-9B3C07B8093C}"/>
            </a:ext>
          </a:extLst>
        </xdr:cNvPr>
        <xdr:cNvSpPr txBox="1"/>
      </xdr:nvSpPr>
      <xdr:spPr>
        <a:xfrm>
          <a:off x="22764974" y="6397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38</xdr:row>
      <xdr:rowOff>121920</xdr:rowOff>
    </xdr:from>
    <xdr:ext cx="184731" cy="264560"/>
    <xdr:sp macro="" textlink="">
      <xdr:nvSpPr>
        <xdr:cNvPr id="7" name="Tekstfelt 6">
          <a:extLst>
            <a:ext uri="{FF2B5EF4-FFF2-40B4-BE49-F238E27FC236}">
              <a16:creationId xmlns:a16="http://schemas.microsoft.com/office/drawing/2014/main" id="{EC98EFA2-CCE6-4C8B-9DB0-6CBF3D83BB39}"/>
            </a:ext>
          </a:extLst>
        </xdr:cNvPr>
        <xdr:cNvSpPr txBox="1"/>
      </xdr:nvSpPr>
      <xdr:spPr>
        <a:xfrm>
          <a:off x="22764974" y="6397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39</xdr:row>
      <xdr:rowOff>121920</xdr:rowOff>
    </xdr:from>
    <xdr:ext cx="184731" cy="264560"/>
    <xdr:sp macro="" textlink="">
      <xdr:nvSpPr>
        <xdr:cNvPr id="8" name="Tekstfelt 7">
          <a:extLst>
            <a:ext uri="{FF2B5EF4-FFF2-40B4-BE49-F238E27FC236}">
              <a16:creationId xmlns:a16="http://schemas.microsoft.com/office/drawing/2014/main" id="{46819E85-365A-4677-B2EB-2E88BC7EAD28}"/>
            </a:ext>
          </a:extLst>
        </xdr:cNvPr>
        <xdr:cNvSpPr txBox="1"/>
      </xdr:nvSpPr>
      <xdr:spPr>
        <a:xfrm>
          <a:off x="22764974" y="63972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41</xdr:row>
      <xdr:rowOff>121920</xdr:rowOff>
    </xdr:from>
    <xdr:ext cx="184731" cy="264560"/>
    <xdr:sp macro="" textlink="">
      <xdr:nvSpPr>
        <xdr:cNvPr id="14" name="Tekstfelt 13">
          <a:extLst>
            <a:ext uri="{FF2B5EF4-FFF2-40B4-BE49-F238E27FC236}">
              <a16:creationId xmlns:a16="http://schemas.microsoft.com/office/drawing/2014/main" id="{BE01A88F-AE60-48C6-B557-348DB821FE17}"/>
            </a:ext>
          </a:extLst>
        </xdr:cNvPr>
        <xdr:cNvSpPr txBox="1"/>
      </xdr:nvSpPr>
      <xdr:spPr>
        <a:xfrm>
          <a:off x="22791420" y="762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42</xdr:row>
      <xdr:rowOff>121920</xdr:rowOff>
    </xdr:from>
    <xdr:ext cx="184731" cy="264560"/>
    <xdr:sp macro="" textlink="">
      <xdr:nvSpPr>
        <xdr:cNvPr id="15" name="Tekstfelt 14">
          <a:extLst>
            <a:ext uri="{FF2B5EF4-FFF2-40B4-BE49-F238E27FC236}">
              <a16:creationId xmlns:a16="http://schemas.microsoft.com/office/drawing/2014/main" id="{D9874DC1-240D-4595-8AE1-A67E4DBD6275}"/>
            </a:ext>
          </a:extLst>
        </xdr:cNvPr>
        <xdr:cNvSpPr txBox="1"/>
      </xdr:nvSpPr>
      <xdr:spPr>
        <a:xfrm>
          <a:off x="22791420" y="7802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43</xdr:row>
      <xdr:rowOff>121920</xdr:rowOff>
    </xdr:from>
    <xdr:ext cx="184731" cy="264560"/>
    <xdr:sp macro="" textlink="">
      <xdr:nvSpPr>
        <xdr:cNvPr id="16" name="Tekstfelt 15">
          <a:extLst>
            <a:ext uri="{FF2B5EF4-FFF2-40B4-BE49-F238E27FC236}">
              <a16:creationId xmlns:a16="http://schemas.microsoft.com/office/drawing/2014/main" id="{0CD5F062-2AB9-4795-B518-ED159BE69AC5}"/>
            </a:ext>
          </a:extLst>
        </xdr:cNvPr>
        <xdr:cNvSpPr txBox="1"/>
      </xdr:nvSpPr>
      <xdr:spPr>
        <a:xfrm>
          <a:off x="22791420" y="7985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44</xdr:row>
      <xdr:rowOff>121920</xdr:rowOff>
    </xdr:from>
    <xdr:ext cx="184731" cy="264560"/>
    <xdr:sp macro="" textlink="">
      <xdr:nvSpPr>
        <xdr:cNvPr id="17" name="Tekstfelt 16">
          <a:extLst>
            <a:ext uri="{FF2B5EF4-FFF2-40B4-BE49-F238E27FC236}">
              <a16:creationId xmlns:a16="http://schemas.microsoft.com/office/drawing/2014/main" id="{C20B91B0-D0AD-4006-9E6A-107827D9CF7D}"/>
            </a:ext>
          </a:extLst>
        </xdr:cNvPr>
        <xdr:cNvSpPr txBox="1"/>
      </xdr:nvSpPr>
      <xdr:spPr>
        <a:xfrm>
          <a:off x="22791420" y="81686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45</xdr:row>
      <xdr:rowOff>121920</xdr:rowOff>
    </xdr:from>
    <xdr:ext cx="184731" cy="264560"/>
    <xdr:sp macro="" textlink="">
      <xdr:nvSpPr>
        <xdr:cNvPr id="18" name="Tekstfelt 17">
          <a:extLst>
            <a:ext uri="{FF2B5EF4-FFF2-40B4-BE49-F238E27FC236}">
              <a16:creationId xmlns:a16="http://schemas.microsoft.com/office/drawing/2014/main" id="{8CFDE9A3-4473-4780-955D-A16988C46C28}"/>
            </a:ext>
          </a:extLst>
        </xdr:cNvPr>
        <xdr:cNvSpPr txBox="1"/>
      </xdr:nvSpPr>
      <xdr:spPr>
        <a:xfrm>
          <a:off x="22791420" y="83515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41</xdr:row>
      <xdr:rowOff>121920</xdr:rowOff>
    </xdr:from>
    <xdr:ext cx="184731" cy="264560"/>
    <xdr:sp macro="" textlink="">
      <xdr:nvSpPr>
        <xdr:cNvPr id="9" name="Tekstfelt 8">
          <a:extLst>
            <a:ext uri="{FF2B5EF4-FFF2-40B4-BE49-F238E27FC236}">
              <a16:creationId xmlns:a16="http://schemas.microsoft.com/office/drawing/2014/main" id="{645F0C20-5433-47B0-9DF5-96F4FD36EE46}"/>
            </a:ext>
          </a:extLst>
        </xdr:cNvPr>
        <xdr:cNvSpPr txBox="1"/>
      </xdr:nvSpPr>
      <xdr:spPr>
        <a:xfrm>
          <a:off x="22764974" y="71143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42</xdr:row>
      <xdr:rowOff>121920</xdr:rowOff>
    </xdr:from>
    <xdr:ext cx="184731" cy="264560"/>
    <xdr:sp macro="" textlink="">
      <xdr:nvSpPr>
        <xdr:cNvPr id="10" name="Tekstfelt 9">
          <a:extLst>
            <a:ext uri="{FF2B5EF4-FFF2-40B4-BE49-F238E27FC236}">
              <a16:creationId xmlns:a16="http://schemas.microsoft.com/office/drawing/2014/main" id="{30568649-CD22-4998-9D9D-45BE5F8D9BA6}"/>
            </a:ext>
          </a:extLst>
        </xdr:cNvPr>
        <xdr:cNvSpPr txBox="1"/>
      </xdr:nvSpPr>
      <xdr:spPr>
        <a:xfrm>
          <a:off x="22764974" y="71143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43</xdr:row>
      <xdr:rowOff>121920</xdr:rowOff>
    </xdr:from>
    <xdr:ext cx="184731" cy="264560"/>
    <xdr:sp macro="" textlink="">
      <xdr:nvSpPr>
        <xdr:cNvPr id="11" name="Tekstfelt 10">
          <a:extLst>
            <a:ext uri="{FF2B5EF4-FFF2-40B4-BE49-F238E27FC236}">
              <a16:creationId xmlns:a16="http://schemas.microsoft.com/office/drawing/2014/main" id="{7FB7E6F1-4F31-4F94-BB63-8756FB690FA8}"/>
            </a:ext>
          </a:extLst>
        </xdr:cNvPr>
        <xdr:cNvSpPr txBox="1"/>
      </xdr:nvSpPr>
      <xdr:spPr>
        <a:xfrm>
          <a:off x="22764974" y="71143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44</xdr:row>
      <xdr:rowOff>121920</xdr:rowOff>
    </xdr:from>
    <xdr:ext cx="184731" cy="264560"/>
    <xdr:sp macro="" textlink="">
      <xdr:nvSpPr>
        <xdr:cNvPr id="12" name="Tekstfelt 11">
          <a:extLst>
            <a:ext uri="{FF2B5EF4-FFF2-40B4-BE49-F238E27FC236}">
              <a16:creationId xmlns:a16="http://schemas.microsoft.com/office/drawing/2014/main" id="{A9950675-DF63-45D6-A413-FD94E59BBF9C}"/>
            </a:ext>
          </a:extLst>
        </xdr:cNvPr>
        <xdr:cNvSpPr txBox="1"/>
      </xdr:nvSpPr>
      <xdr:spPr>
        <a:xfrm>
          <a:off x="22764974" y="71143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21</xdr:col>
      <xdr:colOff>335280</xdr:colOff>
      <xdr:row>45</xdr:row>
      <xdr:rowOff>121920</xdr:rowOff>
    </xdr:from>
    <xdr:ext cx="184731" cy="264560"/>
    <xdr:sp macro="" textlink="">
      <xdr:nvSpPr>
        <xdr:cNvPr id="13" name="Tekstfelt 12">
          <a:extLst>
            <a:ext uri="{FF2B5EF4-FFF2-40B4-BE49-F238E27FC236}">
              <a16:creationId xmlns:a16="http://schemas.microsoft.com/office/drawing/2014/main" id="{538F85B1-5F20-4DD0-8E54-23FC4684B8BF}"/>
            </a:ext>
          </a:extLst>
        </xdr:cNvPr>
        <xdr:cNvSpPr txBox="1"/>
      </xdr:nvSpPr>
      <xdr:spPr>
        <a:xfrm>
          <a:off x="22764974" y="71143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1</xdr:row>
      <xdr:rowOff>106680</xdr:rowOff>
    </xdr:from>
    <xdr:to>
      <xdr:col>16</xdr:col>
      <xdr:colOff>426720</xdr:colOff>
      <xdr:row>27</xdr:row>
      <xdr:rowOff>121920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4114D7DC-694D-FB30-6DDF-07B067E813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335280</xdr:colOff>
      <xdr:row>5</xdr:row>
      <xdr:rowOff>121920</xdr:rowOff>
    </xdr:from>
    <xdr:ext cx="184731" cy="26456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3F5022F7-7085-F43D-2D94-1BD47F9E3806}"/>
            </a:ext>
          </a:extLst>
        </xdr:cNvPr>
        <xdr:cNvSpPr txBox="1"/>
      </xdr:nvSpPr>
      <xdr:spPr>
        <a:xfrm>
          <a:off x="13525500" y="1036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twoCellAnchor>
    <xdr:from>
      <xdr:col>3</xdr:col>
      <xdr:colOff>68580</xdr:colOff>
      <xdr:row>26</xdr:row>
      <xdr:rowOff>107632</xdr:rowOff>
    </xdr:from>
    <xdr:to>
      <xdr:col>10</xdr:col>
      <xdr:colOff>1303020</xdr:colOff>
      <xdr:row>58</xdr:row>
      <xdr:rowOff>161925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1CB6FA47-23CB-96CC-1463-2119EACABE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219075</xdr:colOff>
      <xdr:row>0</xdr:row>
      <xdr:rowOff>142875</xdr:rowOff>
    </xdr:from>
    <xdr:to>
      <xdr:col>33</xdr:col>
      <xdr:colOff>212222</xdr:colOff>
      <xdr:row>28</xdr:row>
      <xdr:rowOff>107422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1E1CFA4D-139B-D22A-89C3-6A5B75757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821650" y="142875"/>
          <a:ext cx="5489072" cy="5264257"/>
        </a:xfrm>
        <a:prstGeom prst="rect">
          <a:avLst/>
        </a:prstGeom>
      </xdr:spPr>
    </xdr:pic>
    <xdr:clientData/>
  </xdr:twoCellAnchor>
  <xdr:twoCellAnchor>
    <xdr:from>
      <xdr:col>1</xdr:col>
      <xdr:colOff>1082040</xdr:colOff>
      <xdr:row>18</xdr:row>
      <xdr:rowOff>91440</xdr:rowOff>
    </xdr:from>
    <xdr:to>
      <xdr:col>10</xdr:col>
      <xdr:colOff>19050</xdr:colOff>
      <xdr:row>52</xdr:row>
      <xdr:rowOff>161925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D7CA7970-D78D-4322-80C3-9778BCE170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407670</xdr:colOff>
      <xdr:row>20</xdr:row>
      <xdr:rowOff>152399</xdr:rowOff>
    </xdr:from>
    <xdr:to>
      <xdr:col>10</xdr:col>
      <xdr:colOff>428625</xdr:colOff>
      <xdr:row>55</xdr:row>
      <xdr:rowOff>38099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1C812D8-82B6-49E6-A645-E36BA3A0A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18</xdr:col>
      <xdr:colOff>335280</xdr:colOff>
      <xdr:row>10</xdr:row>
      <xdr:rowOff>121920</xdr:rowOff>
    </xdr:from>
    <xdr:ext cx="184731" cy="264560"/>
    <xdr:sp macro="" textlink="">
      <xdr:nvSpPr>
        <xdr:cNvPr id="15" name="Tekstfelt 14">
          <a:extLst>
            <a:ext uri="{FF2B5EF4-FFF2-40B4-BE49-F238E27FC236}">
              <a16:creationId xmlns:a16="http://schemas.microsoft.com/office/drawing/2014/main" id="{B76B07A8-727E-4191-B033-3ACE9E85CB89}"/>
            </a:ext>
          </a:extLst>
        </xdr:cNvPr>
        <xdr:cNvSpPr txBox="1"/>
      </xdr:nvSpPr>
      <xdr:spPr>
        <a:xfrm>
          <a:off x="22791420" y="65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11</xdr:row>
      <xdr:rowOff>121920</xdr:rowOff>
    </xdr:from>
    <xdr:ext cx="184731" cy="264560"/>
    <xdr:sp macro="" textlink="">
      <xdr:nvSpPr>
        <xdr:cNvPr id="16" name="Tekstfelt 15">
          <a:extLst>
            <a:ext uri="{FF2B5EF4-FFF2-40B4-BE49-F238E27FC236}">
              <a16:creationId xmlns:a16="http://schemas.microsoft.com/office/drawing/2014/main" id="{CB0EE9C0-9B71-43C1-AB69-7D301E90954D}"/>
            </a:ext>
          </a:extLst>
        </xdr:cNvPr>
        <xdr:cNvSpPr txBox="1"/>
      </xdr:nvSpPr>
      <xdr:spPr>
        <a:xfrm>
          <a:off x="22791420" y="670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12</xdr:row>
      <xdr:rowOff>121920</xdr:rowOff>
    </xdr:from>
    <xdr:ext cx="184731" cy="264560"/>
    <xdr:sp macro="" textlink="">
      <xdr:nvSpPr>
        <xdr:cNvPr id="17" name="Tekstfelt 16">
          <a:extLst>
            <a:ext uri="{FF2B5EF4-FFF2-40B4-BE49-F238E27FC236}">
              <a16:creationId xmlns:a16="http://schemas.microsoft.com/office/drawing/2014/main" id="{0D7C71FB-98C2-4E17-B0E9-171086134805}"/>
            </a:ext>
          </a:extLst>
        </xdr:cNvPr>
        <xdr:cNvSpPr txBox="1"/>
      </xdr:nvSpPr>
      <xdr:spPr>
        <a:xfrm>
          <a:off x="22791420" y="68884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13</xdr:row>
      <xdr:rowOff>121920</xdr:rowOff>
    </xdr:from>
    <xdr:ext cx="184731" cy="264560"/>
    <xdr:sp macro="" textlink="">
      <xdr:nvSpPr>
        <xdr:cNvPr id="18" name="Tekstfelt 17">
          <a:extLst>
            <a:ext uri="{FF2B5EF4-FFF2-40B4-BE49-F238E27FC236}">
              <a16:creationId xmlns:a16="http://schemas.microsoft.com/office/drawing/2014/main" id="{39F6FB54-A57D-4FEC-B22F-ECE9072E1085}"/>
            </a:ext>
          </a:extLst>
        </xdr:cNvPr>
        <xdr:cNvSpPr txBox="1"/>
      </xdr:nvSpPr>
      <xdr:spPr>
        <a:xfrm>
          <a:off x="22791420" y="7071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13</xdr:row>
      <xdr:rowOff>121920</xdr:rowOff>
    </xdr:from>
    <xdr:ext cx="184731" cy="264560"/>
    <xdr:sp macro="" textlink="">
      <xdr:nvSpPr>
        <xdr:cNvPr id="19" name="Tekstfelt 18">
          <a:extLst>
            <a:ext uri="{FF2B5EF4-FFF2-40B4-BE49-F238E27FC236}">
              <a16:creationId xmlns:a16="http://schemas.microsoft.com/office/drawing/2014/main" id="{C0C8D91F-6A65-4992-9A40-54FB2197C6AE}"/>
            </a:ext>
          </a:extLst>
        </xdr:cNvPr>
        <xdr:cNvSpPr txBox="1"/>
      </xdr:nvSpPr>
      <xdr:spPr>
        <a:xfrm>
          <a:off x="22791420" y="7071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14</xdr:row>
      <xdr:rowOff>121920</xdr:rowOff>
    </xdr:from>
    <xdr:ext cx="184731" cy="264560"/>
    <xdr:sp macro="" textlink="">
      <xdr:nvSpPr>
        <xdr:cNvPr id="20" name="Tekstfelt 19">
          <a:extLst>
            <a:ext uri="{FF2B5EF4-FFF2-40B4-BE49-F238E27FC236}">
              <a16:creationId xmlns:a16="http://schemas.microsoft.com/office/drawing/2014/main" id="{99B42D1D-C81C-43E7-AE47-16F8666B5CF4}"/>
            </a:ext>
          </a:extLst>
        </xdr:cNvPr>
        <xdr:cNvSpPr txBox="1"/>
      </xdr:nvSpPr>
      <xdr:spPr>
        <a:xfrm>
          <a:off x="22791420" y="72542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335280</xdr:colOff>
      <xdr:row>5</xdr:row>
      <xdr:rowOff>121920</xdr:rowOff>
    </xdr:from>
    <xdr:ext cx="184731" cy="264560"/>
    <xdr:sp macro="" textlink="">
      <xdr:nvSpPr>
        <xdr:cNvPr id="3" name="Tekstfelt 2">
          <a:extLst>
            <a:ext uri="{FF2B5EF4-FFF2-40B4-BE49-F238E27FC236}">
              <a16:creationId xmlns:a16="http://schemas.microsoft.com/office/drawing/2014/main" id="{25E14F95-8C1E-46E8-8E85-1DE1083D962C}"/>
            </a:ext>
          </a:extLst>
        </xdr:cNvPr>
        <xdr:cNvSpPr txBox="1"/>
      </xdr:nvSpPr>
      <xdr:spPr>
        <a:xfrm>
          <a:off x="14401800" y="1036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twoCellAnchor>
    <xdr:from>
      <xdr:col>2</xdr:col>
      <xdr:colOff>0</xdr:colOff>
      <xdr:row>20</xdr:row>
      <xdr:rowOff>0</xdr:rowOff>
    </xdr:from>
    <xdr:to>
      <xdr:col>9</xdr:col>
      <xdr:colOff>361950</xdr:colOff>
      <xdr:row>54</xdr:row>
      <xdr:rowOff>95250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C05D93F-82B5-445E-8797-1BDA04AE56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18</xdr:col>
      <xdr:colOff>335280</xdr:colOff>
      <xdr:row>12</xdr:row>
      <xdr:rowOff>0</xdr:rowOff>
    </xdr:from>
    <xdr:ext cx="184731" cy="264560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782A35C1-49AF-44FE-BC44-E245C4629910}"/>
            </a:ext>
          </a:extLst>
        </xdr:cNvPr>
        <xdr:cNvSpPr txBox="1"/>
      </xdr:nvSpPr>
      <xdr:spPr>
        <a:xfrm>
          <a:off x="22791420" y="65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12</xdr:row>
      <xdr:rowOff>121920</xdr:rowOff>
    </xdr:from>
    <xdr:ext cx="184731" cy="264560"/>
    <xdr:sp macro="" textlink="">
      <xdr:nvSpPr>
        <xdr:cNvPr id="5" name="Tekstfelt 4">
          <a:extLst>
            <a:ext uri="{FF2B5EF4-FFF2-40B4-BE49-F238E27FC236}">
              <a16:creationId xmlns:a16="http://schemas.microsoft.com/office/drawing/2014/main" id="{DB6EB3E6-DD62-42F9-AE1C-FE47CCB32339}"/>
            </a:ext>
          </a:extLst>
        </xdr:cNvPr>
        <xdr:cNvSpPr txBox="1"/>
      </xdr:nvSpPr>
      <xdr:spPr>
        <a:xfrm>
          <a:off x="22791420" y="670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13</xdr:row>
      <xdr:rowOff>121920</xdr:rowOff>
    </xdr:from>
    <xdr:ext cx="184731" cy="264560"/>
    <xdr:sp macro="" textlink="">
      <xdr:nvSpPr>
        <xdr:cNvPr id="6" name="Tekstfelt 5">
          <a:extLst>
            <a:ext uri="{FF2B5EF4-FFF2-40B4-BE49-F238E27FC236}">
              <a16:creationId xmlns:a16="http://schemas.microsoft.com/office/drawing/2014/main" id="{647A6CD4-59E8-4744-A6B9-DE4F513FCE5E}"/>
            </a:ext>
          </a:extLst>
        </xdr:cNvPr>
        <xdr:cNvSpPr txBox="1"/>
      </xdr:nvSpPr>
      <xdr:spPr>
        <a:xfrm>
          <a:off x="22791420" y="68884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14</xdr:row>
      <xdr:rowOff>121920</xdr:rowOff>
    </xdr:from>
    <xdr:ext cx="184731" cy="264560"/>
    <xdr:sp macro="" textlink="">
      <xdr:nvSpPr>
        <xdr:cNvPr id="7" name="Tekstfelt 6">
          <a:extLst>
            <a:ext uri="{FF2B5EF4-FFF2-40B4-BE49-F238E27FC236}">
              <a16:creationId xmlns:a16="http://schemas.microsoft.com/office/drawing/2014/main" id="{D206BDCE-547B-4C8B-B6E8-956EA0BF54BE}"/>
            </a:ext>
          </a:extLst>
        </xdr:cNvPr>
        <xdr:cNvSpPr txBox="1"/>
      </xdr:nvSpPr>
      <xdr:spPr>
        <a:xfrm>
          <a:off x="22791420" y="7071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14</xdr:row>
      <xdr:rowOff>121920</xdr:rowOff>
    </xdr:from>
    <xdr:ext cx="184731" cy="264560"/>
    <xdr:sp macro="" textlink="">
      <xdr:nvSpPr>
        <xdr:cNvPr id="8" name="Tekstfelt 7">
          <a:extLst>
            <a:ext uri="{FF2B5EF4-FFF2-40B4-BE49-F238E27FC236}">
              <a16:creationId xmlns:a16="http://schemas.microsoft.com/office/drawing/2014/main" id="{D418B119-4148-43BD-8AF5-812902F5270F}"/>
            </a:ext>
          </a:extLst>
        </xdr:cNvPr>
        <xdr:cNvSpPr txBox="1"/>
      </xdr:nvSpPr>
      <xdr:spPr>
        <a:xfrm>
          <a:off x="22791420" y="70713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18</xdr:col>
      <xdr:colOff>335280</xdr:colOff>
      <xdr:row>15</xdr:row>
      <xdr:rowOff>121920</xdr:rowOff>
    </xdr:from>
    <xdr:ext cx="184731" cy="264560"/>
    <xdr:sp macro="" textlink="">
      <xdr:nvSpPr>
        <xdr:cNvPr id="9" name="Tekstfelt 8">
          <a:extLst>
            <a:ext uri="{FF2B5EF4-FFF2-40B4-BE49-F238E27FC236}">
              <a16:creationId xmlns:a16="http://schemas.microsoft.com/office/drawing/2014/main" id="{228B37C8-19BF-4683-8B56-4C8458F88DF7}"/>
            </a:ext>
          </a:extLst>
        </xdr:cNvPr>
        <xdr:cNvSpPr txBox="1"/>
      </xdr:nvSpPr>
      <xdr:spPr>
        <a:xfrm>
          <a:off x="22791420" y="72542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335280</xdr:colOff>
      <xdr:row>5</xdr:row>
      <xdr:rowOff>121920</xdr:rowOff>
    </xdr:from>
    <xdr:ext cx="184731" cy="26456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65BD40DF-43D5-4615-ADBE-2B4A1D3B43B9}"/>
            </a:ext>
          </a:extLst>
        </xdr:cNvPr>
        <xdr:cNvSpPr txBox="1"/>
      </xdr:nvSpPr>
      <xdr:spPr>
        <a:xfrm>
          <a:off x="16764000" y="1036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335280</xdr:colOff>
      <xdr:row>5</xdr:row>
      <xdr:rowOff>121920</xdr:rowOff>
    </xdr:from>
    <xdr:ext cx="184731" cy="264560"/>
    <xdr:sp macro="" textlink="">
      <xdr:nvSpPr>
        <xdr:cNvPr id="3" name="Tekstfelt 2">
          <a:extLst>
            <a:ext uri="{FF2B5EF4-FFF2-40B4-BE49-F238E27FC236}">
              <a16:creationId xmlns:a16="http://schemas.microsoft.com/office/drawing/2014/main" id="{AC7280FE-7BEE-41D8-991E-91EE49931BA8}"/>
            </a:ext>
          </a:extLst>
        </xdr:cNvPr>
        <xdr:cNvSpPr txBox="1"/>
      </xdr:nvSpPr>
      <xdr:spPr>
        <a:xfrm>
          <a:off x="14401800" y="1036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E805E45-9F56-466B-AF74-8C4C5BEB3E1E}" name="Tabel313" displayName="Tabel313" ref="C3:Z89" totalsRowShown="0">
  <autoFilter ref="C3:Z89" xr:uid="{EE805E45-9F56-466B-AF74-8C4C5BEB3E1E}"/>
  <tableColumns count="24">
    <tableColumn id="21" xr3:uid="{2D430B41-4D9C-4008-8C3F-95FE2B879E5C}" name="Svejseværk" dataDxfId="50"/>
    <tableColumn id="1" xr3:uid="{BEACB3BD-5993-4FF3-9643-A2A8CD9E9954}" name="Test#"/>
    <tableColumn id="2" xr3:uid="{2BC52CE5-8C63-429F-9012-E8619BC0ACFE}" name="Proces"/>
    <tableColumn id="3" xr3:uid="{228EF938-0FD2-4A66-9355-EB85F68A830C}" name="Emne dimensioner"/>
    <tableColumn id="20" xr3:uid="{B39A8052-0DC6-4847-83C2-4C609AE5E0E3}" name="Længde svejsning"/>
    <tableColumn id="4" xr3:uid="{0AC5DF76-6D98-4498-8FCB-297304951C76}" name="Emne materiale"/>
    <tableColumn id="5" xr3:uid="{FBBE28BD-3FBF-464F-B083-D2C1E70C0BD6}" name="A mål"/>
    <tableColumn id="6" xr3:uid="{4114627F-7E96-4092-B164-BA3B7E5ED2FE}" name="Spænding Volt"/>
    <tableColumn id="7" xr3:uid="{4B1A97FB-2908-4A6B-B76C-D334EF9E6265}" name="Strømindstilling(A)"/>
    <tableColumn id="8" xr3:uid="{FC6FD4F8-7EB8-4A38-B410-342B139D4EFC}" name="Trådfremføring (m/min)"/>
    <tableColumn id="9" xr3:uid="{AF9B63E6-35F3-4CB5-A308-2C93C82A5A50}" name="Puls"/>
    <tableColumn id="10" xr3:uid="{74D0C8AC-7EF5-405C-B0B7-56CD0C8D513C}" name="Trådtype"/>
    <tableColumn id="11" xr3:uid="{DEED7825-56C0-48F0-A8E3-074EA851F449}" name="Tråd dimension"/>
    <tableColumn id="12" xr3:uid="{B9CD06D2-F7E9-4EA3-A56E-6C56A1DA494A}" name="Gastype"/>
    <tableColumn id="13" xr3:uid="{9D1E37FD-3150-4C24-AE43-72989B134B59}" name="Gasflow l/m"/>
    <tableColumn id="14" xr3:uid="{3D8D89AE-CF49-4BA4-880F-6B6E27860674}" name="Forbrug (WH)"/>
    <tableColumn id="22" xr3:uid="{93BD38E4-7DF3-4202-A880-CF45F746841F}" name="Forbrug pr mm" dataDxfId="49">
      <calculatedColumnFormula>Tabel313[[#This Row],[Forbrug (WH)]]/Tabel313[[#This Row],[Længde svejsning]]</calculatedColumnFormula>
    </tableColumn>
    <tableColumn id="15" xr3:uid="{638E8AC2-0845-4795-997B-D96F386C10A0}" name="Tid"/>
    <tableColumn id="16" xr3:uid="{12051028-0DE2-41BB-8EEA-FE71DC427ECF}" name="WH/Sek"/>
    <tableColumn id="17" xr3:uid="{5ED41B57-A906-4D72-8044-E5700A21B753}" name="Areal snit" dataDxfId="48">
      <calculatedColumnFormula>((SQRT((POWER((Tabel1[[#This Row],[A mål]]/2),2)+(POWER((Tabel1[[#This Row],[A mål]]/2),2)))))*(SQRT((POWER((Tabel1[[#This Row],[A mål]]/2),2)+(POWER((Tabel1[[#This Row],[A mål]]/2),2))))))/2</calculatedColumnFormula>
    </tableColumn>
    <tableColumn id="18" xr3:uid="{6C566A0E-52E9-48E4-BD70-B7AABAAC161F}" name="Vol svejsning mm" dataDxfId="47">
      <calculatedColumnFormula>Tabel1[[#This Row],[Areal snit]]*Tabel1[[#This Row],[Længde svejsning]]</calculatedColumnFormula>
    </tableColumn>
    <tableColumn id="19" xr3:uid="{48503821-8602-4824-94E0-921CA15A8356}" name="Forbrug pr mm3" dataDxfId="46"/>
    <tableColumn id="23" xr3:uid="{B8FE15AF-0423-4BDF-B10D-014108BF4F8F}" name="Ramp ned tid sek." dataDxfId="45"/>
    <tableColumn id="24" xr3:uid="{D7680548-ADBE-4BC4-8A92-688354A3FEE7}" name="Effekt forbrug W" dataDxfId="44"/>
  </tableColumns>
  <tableStyleInfo name="TableStyleLight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B46033B-8F7C-4053-B50D-86E8C83C4321}" name="Tabel27" displayName="Tabel27" ref="A3:H17" totalsRowShown="0">
  <autoFilter ref="A3:H17" xr:uid="{4B46033B-8F7C-4053-B50D-86E8C83C4321}"/>
  <tableColumns count="8">
    <tableColumn id="1" xr3:uid="{D5CC8161-1B3C-4207-A76E-F20B2382CC79}" name="Test#"/>
    <tableColumn id="2" xr3:uid="{3304030A-0215-4823-95CC-42283091EC4E}" name="Material"/>
    <tableColumn id="3" xr3:uid="{EFAADF12-61F8-45F4-96AC-B7FA09A15C8C}" name="Mat. Tykkelse"/>
    <tableColumn id="4" xr3:uid="{21A4CA63-1D43-4289-A21B-E2FC30D3B542}" name="Forbrug"/>
    <tableColumn id="5" xr3:uid="{E7E4B62C-5A82-43EF-8EFF-3F14C064A018}" name="Lang/kort"/>
    <tableColumn id="6" xr3:uid="{A945D58F-A421-4250-ADB3-990CB2AD23D5}" name="Størrelse"/>
    <tableColumn id="8" xr3:uid="{31CA3DE6-FA7B-45C6-BA87-EF507B102CD7}" name="Antal"/>
    <tableColumn id="7" xr3:uid="{3AD4969E-13CD-43CF-AAC0-1BE778A7399A}" name="Strømstyrke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1276215-D2F5-43B1-A74F-FA0810586643}" name="Tabel17" displayName="Tabel17" ref="A3:G92" totalsRowShown="0">
  <autoFilter ref="A3:G92" xr:uid="{41276215-D2F5-43B1-A74F-FA0810586643}"/>
  <tableColumns count="7">
    <tableColumn id="1" xr3:uid="{A7CF4B3E-B5C1-4CB3-B38E-81973F2B7971}" name="Test#"/>
    <tableColumn id="2" xr3:uid="{9C422DC0-491D-4EB0-85A6-7BFE63CFEECC}" name="Material"/>
    <tableColumn id="3" xr3:uid="{18998853-A2C8-4578-829E-9B3AB1A3F3C6}" name="Mat. Tykkelse"/>
    <tableColumn id="4" xr3:uid="{8C1D99EF-1287-4108-913B-006C969A6C46}" name="Forbrug WH"/>
    <tableColumn id="5" xr3:uid="{01D768D6-5545-4ADC-A1A5-1886B5D89F83}" name="Lang/kort"/>
    <tableColumn id="6" xr3:uid="{B34B5517-4E4E-4820-B0D5-B7EEF666537E}" name="Størrelse"/>
    <tableColumn id="7" xr3:uid="{790674AF-71FA-45DE-8CC4-B24B9AE80383}" name="Antal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818D3A1-6004-4391-A81D-B705D24CABEF}" name="Tabel11" displayName="Tabel11" ref="A1:J20" totalsRowShown="0" headerRowDxfId="21" dataDxfId="19" headerRowBorderDxfId="20" tableBorderDxfId="18">
  <autoFilter ref="A1:J20" xr:uid="{F818D3A1-6004-4391-A81D-B705D24CABEF}"/>
  <tableColumns count="10">
    <tableColumn id="1" xr3:uid="{2256C33D-24E3-4AB3-88E2-9AD7563C9405}" name="Test#" dataDxfId="17"/>
    <tableColumn id="2" xr3:uid="{801D1FF5-2AF2-4173-97F1-D6B1C9F40492}" name="Material" dataDxfId="16"/>
    <tableColumn id="3" xr3:uid="{FA5FAF32-82DB-4500-B366-604539A2D338}" name="Mat. Tykkelse" dataDxfId="15"/>
    <tableColumn id="4" xr3:uid="{673DA2C2-7E40-4B0C-8593-A33FED4CF128}" name="Forbrug wh" dataDxfId="14"/>
    <tableColumn id="5" xr3:uid="{CD850E09-6D8C-4B93-8986-3ABE310E6B27}" name="Lang/kort" dataDxfId="13"/>
    <tableColumn id="6" xr3:uid="{265B4B79-A592-444D-9B55-E539C3804CD5}" name="Størrelse" dataDxfId="12"/>
    <tableColumn id="7" xr3:uid="{8BA3F3FC-F1A8-4FC9-8C25-EA61B286621A}" name="Antal" dataDxfId="11"/>
    <tableColumn id="8" xr3:uid="{464EC7C6-37A6-48C6-91C7-5A90142D601E}" name="Strømstyrke" dataDxfId="10"/>
    <tableColumn id="9" xr3:uid="{9A1B62C4-3F7D-4197-B5EF-DB0997FE22FC}" name="Tid" dataDxfId="9"/>
    <tableColumn id="10" xr3:uid="{2EABF067-3085-434D-8F55-3AA64A6FEAA7}" name="Wh/mm" dataDxfId="8"/>
  </tableColumns>
  <tableStyleInfo name="TableStyleLight15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B85ABC3-1DBE-4FD5-99F0-3B862C577EEF}" name="Tabel9" displayName="Tabel9" ref="A3:D53" totalsRowShown="0">
  <autoFilter ref="A3:D53" xr:uid="{0B85ABC3-1DBE-4FD5-99F0-3B862C577EEF}"/>
  <tableColumns count="4">
    <tableColumn id="1" xr3:uid="{924C88FC-73FE-45E7-96D4-1743BCE57D38}" name="Proces" dataDxfId="7"/>
    <tableColumn id="5" xr3:uid="{5A6E96C4-000D-4B17-B2FC-7C031AAA9101}" name="Teknologi" dataDxfId="6"/>
    <tableColumn id="2" xr3:uid="{2B51EC88-2861-47AB-B96F-326FF6B90951}" name="Dimensionsenhed (Godstykkelse)" dataDxfId="5"/>
    <tableColumn id="3" xr3:uid="{6AE3FC66-A60F-4C9B-9E91-B59B0E0FEFD4}" name="WH pr MM" dataDxfId="4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5CBF563-BC14-4E07-9ED9-62CDAB980D29}" name="Tabel10" displayName="Tabel10" ref="G27:M36" totalsRowShown="0">
  <autoFilter ref="G27:M36" xr:uid="{E5CBF563-BC14-4E07-9ED9-62CDAB980D29}"/>
  <tableColumns count="7">
    <tableColumn id="1" xr3:uid="{562260D2-97A8-47F0-9970-9ECE9983B12E}" name="PROCES"/>
    <tableColumn id="2" xr3:uid="{67A2A71E-3EB0-4025-AB02-C9E0C35CB871}" name="Svejsning"/>
    <tableColumn id="3" xr3:uid="{369946C5-51AB-488E-89B8-166A71D712AA}" name="Pladeafkortning"/>
    <tableColumn id="4" xr3:uid="{CE4F66FE-2103-4E5E-9F19-2A659207ADA6}" name="Kolonne1"/>
    <tableColumn id="5" xr3:uid="{3755CC0D-647F-49E4-A74F-52771C4811A1}" name="Kolonne2"/>
    <tableColumn id="6" xr3:uid="{4CF3C8B1-DDD5-4F2C-97B8-6285F5224CC5}" name="Kolonne3"/>
    <tableColumn id="7" xr3:uid="{FF490A8F-E377-4D76-A548-30F4E21B40D1}" name="Kolonne4"/>
  </tableColumns>
  <tableStyleInfo name="TableStyleLight16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1C8E233-13F8-452A-A9B4-122719381498}" name="Tabel13" displayName="Tabel13" ref="G40:S49" totalsRowShown="0">
  <autoFilter ref="G40:S49" xr:uid="{31C8E233-13F8-452A-A9B4-122719381498}"/>
  <tableColumns count="13">
    <tableColumn id="1" xr3:uid="{55714519-38B7-4259-A3E5-DCA6944BFFB3}" name="TEKNOLOGI"/>
    <tableColumn id="2" xr3:uid="{9782DB49-B286-42D4-9A91-CC2ED8BC0BB8}" name="TIG"/>
    <tableColumn id="3" xr3:uid="{AA6B76E3-1172-4F7F-A26D-DB581539E9B6}" name="MAG"/>
    <tableColumn id="4" xr3:uid="{AE279130-50D1-4A74-90CB-30FD6D0AC16B}" name="MMA"/>
    <tableColumn id="5" xr3:uid="{2C611B6D-1C27-4C22-8BF1-7C67406C121B}" name="Elektromekanisk_pladesaks"/>
    <tableColumn id="6" xr3:uid="{A3CCFC29-6686-47B7-9CAA-6DBCF56BD910}" name="Plasmaskærer"/>
    <tableColumn id="7" xr3:uid="{DEE2E795-3C0B-40EA-A66C-8DD0D03E2642}" name="Hydraulisk_pladesaks"/>
    <tableColumn id="8" xr3:uid="{12D4BDAC-A0E9-4964-A565-AD93F0000A74}" name="Laserskærer"/>
    <tableColumn id="9" xr3:uid="{A670A948-A1AB-41D5-B6AF-740DF3C25716}" name="Kolonne1"/>
    <tableColumn id="10" xr3:uid="{6A8221FB-42EA-4875-8BA8-D79BE34857E8}" name="Kolonne2"/>
    <tableColumn id="11" xr3:uid="{8CD5DCBA-421C-4B51-AF92-9379D0119D94}" name="Kolonne3"/>
    <tableColumn id="12" xr3:uid="{5E3522A3-4ED6-4800-A9B6-3AB28A4D3E49}" name="Kolonne4"/>
    <tableColumn id="13" xr3:uid="{20ABF18D-DE24-435B-A474-F464EC3682FC}" name="Kolonne5"/>
  </tableColumns>
  <tableStyleInfo name="TableStyleLight2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772EBC1-2DAB-4E57-9113-4D97765CFBCB}" name="Tabel18" displayName="Tabel18" ref="G3:K16" totalsRowShown="0" headerRowDxfId="3" headerRowBorderDxfId="2" tableBorderDxfId="1" headerRowCellStyle="Input">
  <autoFilter ref="G3:K16" xr:uid="{D772EBC1-2DAB-4E57-9113-4D97765CFBCB}"/>
  <tableColumns count="5">
    <tableColumn id="1" xr3:uid="{F180B77B-F7E5-4634-9F20-E762DC450DF0}" name="Bearbejdningsproces"/>
    <tableColumn id="2" xr3:uid="{E6CCCF20-6D8A-4647-896F-9D634353BB8C}" name="Teknologi"/>
    <tableColumn id="5" xr3:uid="{BA8553B7-7010-4D2C-9FC3-72E67D1C0937}" name="Materiale dimension"/>
    <tableColumn id="3" xr3:uid="{C67A706B-35B4-4AE7-8871-46C5A85EB6D6}" name="Bearbejdningslængde i mm"/>
    <tableColumn id="4" xr3:uid="{9AB3A4B9-84A2-4CAD-80EB-9B72FA5B869C}" name="Strømforbrug Wh" dataDxfId="0">
      <calculatedColumnFormula array="1">(INDEX(Tabel9[WH pr MM],MATCH(1,(Tabel9[Teknologi]=Tabel18[[#This Row],[Teknologi]])*(Tabel9[Dimensionsenhed (Godstykkelse)]=Tabel18[[#This Row],[Materiale dimension]]),0)))*Tabel18[[#This Row],[Bearbejdningslængde i mm]]</calculatedColumnFormula>
    </tableColumn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97569F9-5648-43EF-A72D-769642F7FCD6}" name="Tabel14" displayName="Tabel14" ref="AA4:AE26" totalsRowShown="0">
  <autoFilter ref="AA4:AE26" xr:uid="{397569F9-5648-43EF-A72D-769642F7FCD6}"/>
  <tableColumns count="5">
    <tableColumn id="1" xr3:uid="{2D391F0A-D785-4D04-82B0-E2C4BA8F2F58}" name="Proces"/>
    <tableColumn id="2" xr3:uid="{449C896A-F126-466D-92B4-B07B020F30F0}" name="MAGMassivTråd"/>
    <tableColumn id="3" xr3:uid="{903A94CF-DC7D-496A-ACE9-571D08B94E08}" name="TIG"/>
    <tableColumn id="4" xr3:uid="{A4F809E3-97C0-469F-ACF2-3356DA8A7E37}" name="Elektrode"/>
    <tableColumn id="5" xr3:uid="{E005C600-983F-4CA0-8DA8-AF3D914D3BD0}" name="Kolonne2"/>
  </tableColumns>
  <tableStyleInfo name="TableStyleMedium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40AF41F-BA37-48CC-89B2-E31830555ACC}" name="Tabel16" displayName="Tabel16" ref="AA32:AF53" totalsRowShown="0">
  <autoFilter ref="AA32:AF53" xr:uid="{040AF41F-BA37-48CC-89B2-E31830555ACC}"/>
  <tableColumns count="6">
    <tableColumn id="2" xr3:uid="{44CE47A4-B04F-4897-964B-9FD0F03B6155}" name="MAGMassivTrådKemppiPromig530Pro3200ev"/>
    <tableColumn id="3" xr3:uid="{237A11A2-2751-4AFE-A33C-71D51B4FDE34}" name="MAGMassivTrådKemppiMasterM205"/>
    <tableColumn id="4" xr3:uid="{F6945DDC-8C60-41F7-A7A2-0D78962B537D}" name="TIGMigatronicPI250"/>
    <tableColumn id="6" xr3:uid="{15982449-B328-47B3-BC66-4721B2140384}" name="ElektrodeMigatronicPI250"/>
    <tableColumn id="5" xr3:uid="{145BB365-F073-4276-AA4A-B5CD723C7716}" name="TIGKemppiMasterTig235"/>
    <tableColumn id="1" xr3:uid="{6F381A54-8D1F-4CBC-BBEA-7728DBC1DB04}" name="ElektrodeKemppiMasterTig235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802027-F563-4C1D-BEBD-519470211654}" name="Tabel1" displayName="Tabel1" ref="A4:U19" totalsRowShown="0">
  <autoFilter ref="A4:U19" xr:uid="{6D802027-F563-4C1D-BEBD-519470211654}"/>
  <tableColumns count="21">
    <tableColumn id="1" xr3:uid="{11ECD3D7-5F0C-467F-ABBC-600541B0A8D1}" name="Test#"/>
    <tableColumn id="2" xr3:uid="{3E038DEA-21F0-4B4C-9A94-B201167664E8}" name="Proces"/>
    <tableColumn id="3" xr3:uid="{5DA2AE30-48AA-442B-A936-03D3D7D10FA6}" name="Emne dimensioner"/>
    <tableColumn id="18" xr3:uid="{EEA6F6FD-E2BF-4996-87DE-0CAAC390EC0B}" name="Længde svejsning"/>
    <tableColumn id="4" xr3:uid="{5B3AA4C6-F9F7-4AFC-8F9C-137C31167D28}" name="Emne materiale"/>
    <tableColumn id="5" xr3:uid="{2303D852-2D90-400C-965A-888B44719380}" name="A mål"/>
    <tableColumn id="6" xr3:uid="{6A8D4644-3142-4774-8B71-C1945A385D54}" name="Spænding Volt"/>
    <tableColumn id="7" xr3:uid="{0892EAC1-425A-434E-9A21-2624A000764A}" name="Strømindstilling(A)"/>
    <tableColumn id="8" xr3:uid="{5FFBD9E4-439A-4423-A234-B6D2504DFDC3}" name="Trådfremføring (m/min)"/>
    <tableColumn id="9" xr3:uid="{9FE93742-9D9B-4449-A49E-8DB5EC3028F9}" name="Puls"/>
    <tableColumn id="10" xr3:uid="{D609597F-08A8-44C4-AEA3-F69EBF9965AF}" name="Trådtype"/>
    <tableColumn id="11" xr3:uid="{893FB27B-C6E5-4523-9FED-BC95B63BE4F0}" name="Tråd dimension"/>
    <tableColumn id="12" xr3:uid="{2AD7C65F-8181-486C-AC76-E25794FF9675}" name="Gastype"/>
    <tableColumn id="13" xr3:uid="{1634E7B9-47D4-414D-AC83-E5E9B4CDAADE}" name="Gasflow l/m"/>
    <tableColumn id="14" xr3:uid="{CE4FEA44-F170-409B-94F9-705A644D4326}" name="Forbrug (WH)"/>
    <tableColumn id="17" xr3:uid="{4B0F4201-632B-44A0-8636-4054E6A155D2}" name="Forbrug pr mm" dataDxfId="43">
      <calculatedColumnFormula>Tabel1[[#This Row],[Forbrug (WH)]]/Tabel1[[#This Row],[Længde svejsning]]</calculatedColumnFormula>
    </tableColumn>
    <tableColumn id="15" xr3:uid="{BC8EEB65-8178-4B4A-8F61-ED54135A94BB}" name="Tid"/>
    <tableColumn id="16" xr3:uid="{42B9A754-155A-4B73-9559-E191EDC95F23}" name="WH/Sek"/>
    <tableColumn id="19" xr3:uid="{B539C845-459B-4C08-9364-AEF919335AD9}" name="Areal snit" dataDxfId="42">
      <calculatedColumnFormula>((SQRT((POWER((Tabel1[[#This Row],[A mål]]/2),2)+(POWER((Tabel1[[#This Row],[A mål]]/2),2)))))*(SQRT((POWER((Tabel1[[#This Row],[A mål]]/2),2)+(POWER((Tabel1[[#This Row],[A mål]]/2),2))))))/2</calculatedColumnFormula>
    </tableColumn>
    <tableColumn id="20" xr3:uid="{6BDA3FE1-E919-4EB8-A8F7-ED6BA62BF5DA}" name="Vol svejsning mm" dataDxfId="41">
      <calculatedColumnFormula>Tabel1[[#This Row],[Areal snit]]*Tabel1[[#This Row],[Længde svejsning]]</calculatedColumnFormula>
    </tableColumn>
    <tableColumn id="21" xr3:uid="{DF0DBF2C-B08C-4D92-9B21-E7268A5D72EA}" name="Forbrug pr mm3" dataDxfId="40">
      <calculatedColumnFormula>Tabel1[[#This Row],[Forbrug (WH)]]/Tabel1[[#This Row],[Vol svejsning mm]]</calculatedColumnFormula>
    </tableColumn>
  </tableColumns>
  <tableStyleInfo name="TableStyleLight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E70686A-A2F9-4954-AAEF-95F9429777CF}" name="Tabel2" displayName="Tabel2" ref="A4:U16" totalsRowShown="0">
  <autoFilter ref="A4:U16" xr:uid="{BE70686A-A2F9-4954-AAEF-95F9429777CF}"/>
  <tableColumns count="21">
    <tableColumn id="1" xr3:uid="{DA27F917-17BB-4BAE-BB8D-A0BCBC54E73C}" name="Test#"/>
    <tableColumn id="2" xr3:uid="{DDCB0238-7DF9-4F13-83CB-B319B37CA4C5}" name="Proces"/>
    <tableColumn id="3" xr3:uid="{9672D275-1DAC-468F-95DD-E6499FDE2BBC}" name="Emne dimensioner"/>
    <tableColumn id="17" xr3:uid="{51544BF1-826A-464B-90A9-C038150F62A0}" name="Længde svejsning"/>
    <tableColumn id="4" xr3:uid="{27F38835-0841-4117-96D3-73120EA36262}" name="Emne materiale"/>
    <tableColumn id="5" xr3:uid="{A2CD36F1-9A9A-4107-B8BB-FB41E09098AF}" name="A mål"/>
    <tableColumn id="6" xr3:uid="{8DC7D9A9-841B-4824-BFC7-0070CE315294}" name="Spænding Volt"/>
    <tableColumn id="7" xr3:uid="{8CE85A49-29C7-409B-8675-E447288F9734}" name="Strømindstilling(A)"/>
    <tableColumn id="8" xr3:uid="{652951F1-B75D-4C8F-A3E1-7E7B51490481}" name="Trådfremføring (m/min)"/>
    <tableColumn id="9" xr3:uid="{13D8B8D1-AB79-47E7-B87D-8876A952EDD5}" name="Puls"/>
    <tableColumn id="10" xr3:uid="{4CD00202-BD86-493D-98D1-E7E2F84C0952}" name="Trådtype"/>
    <tableColumn id="11" xr3:uid="{3F37B1A1-6B3E-486B-8F62-56BC0DD8F29F}" name="Tråd dimension"/>
    <tableColumn id="12" xr3:uid="{5824F746-AFB0-4474-B374-A76BFFB0171C}" name="Gastype"/>
    <tableColumn id="13" xr3:uid="{148ABD99-AB7C-43E2-B149-A3F8B0EC2467}" name="Gasflow l/m"/>
    <tableColumn id="14" xr3:uid="{A3665D47-E916-4DF1-839B-BEED8901E3D3}" name="Forbrug (WH)"/>
    <tableColumn id="21" xr3:uid="{7A928B7E-BA73-4B75-ABAE-2204EAF69722}" name="Forbrug pr mm" dataDxfId="39">
      <calculatedColumnFormula>Tabel2[[#This Row],[Forbrug (WH)]]/Tabel2[[#This Row],[Længde svejsning]]</calculatedColumnFormula>
    </tableColumn>
    <tableColumn id="15" xr3:uid="{0DC29B0F-3BA8-42B6-8C12-2A975584E827}" name="Tid"/>
    <tableColumn id="16" xr3:uid="{2B364D5A-EA1D-488D-B650-5BBA09A9029E}" name="WH/Sek"/>
    <tableColumn id="18" xr3:uid="{02A5B9D5-2AB4-440E-80F5-7A425F137DC2}" name="Areal snit" dataDxfId="38">
      <calculatedColumnFormula>((SQRT((POWER((Tabel2[[#This Row],[A mål]]/2),2)+(POWER((Tabel2[[#This Row],[A mål]]/2),2)))))*(SQRT((POWER((Tabel2[[#This Row],[A mål]]/2),2)+(POWER((Tabel2[[#This Row],[A mål]]/2),2))))))/2</calculatedColumnFormula>
    </tableColumn>
    <tableColumn id="19" xr3:uid="{68A5939F-CBC3-4EE4-ACE3-2D07D9097769}" name="Vol svejsning mm" dataDxfId="37">
      <calculatedColumnFormula>Tabel2[[#This Row],[Areal snit]]*Tabel2[[#This Row],[Længde svejsning]]</calculatedColumnFormula>
    </tableColumn>
    <tableColumn id="20" xr3:uid="{5023E1D5-D8DE-4538-9576-E7F8379D6494}" name="Forbrug pr mm3" dataDxfId="36">
      <calculatedColumnFormula>Tabel2[[#This Row],[Forbrug (WH)]]/Tabel2[[#This Row],[Vol svejsning mm]]</calculatedColumnFormula>
    </tableColumn>
  </tableColumns>
  <tableStyleInfo name="TableStyleLight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BC91809-1F6D-487A-91EB-ACA7A21AAE9B}" name="Tabel3" displayName="Tabel3" ref="A4:U19" totalsRowShown="0">
  <autoFilter ref="A4:U19" xr:uid="{DBC91809-1F6D-487A-91EB-ACA7A21AAE9B}"/>
  <tableColumns count="21">
    <tableColumn id="1" xr3:uid="{64E9B07F-58A9-440D-9636-6363EB94178E}" name="Test#"/>
    <tableColumn id="2" xr3:uid="{7E1B1EE9-84B0-4F4A-B7EE-7FFC43029D40}" name="Proces"/>
    <tableColumn id="3" xr3:uid="{A9F4285C-234E-429E-A48F-BB5C3456D761}" name="Emne dimensioner"/>
    <tableColumn id="20" xr3:uid="{D9971F3A-6D09-447B-9417-41883768A10F}" name="Længde svejsning"/>
    <tableColumn id="4" xr3:uid="{7D9321D6-D3ED-4825-9B38-F3BD16DA1E2B}" name="Emne materiale"/>
    <tableColumn id="5" xr3:uid="{14932798-CC4E-4AF5-8C17-15DEBC47A425}" name="A mål"/>
    <tableColumn id="6" xr3:uid="{DE0648F4-4942-4019-8843-8C645D0093A4}" name="Spænding Volt"/>
    <tableColumn id="7" xr3:uid="{6C36E970-028A-4123-B6B6-A5CF879D6978}" name="Strømindstilling(A)"/>
    <tableColumn id="8" xr3:uid="{E69047EB-2F3F-48B8-8CBC-83B4ECC7F88B}" name="Trådfremføring (m/min)"/>
    <tableColumn id="9" xr3:uid="{F2B78384-E761-4DFA-90DE-DB17FFFE8AD8}" name="Puls"/>
    <tableColumn id="10" xr3:uid="{E63E0906-E5AD-4D99-8A13-0A8E207022B8}" name="Trådtype"/>
    <tableColumn id="11" xr3:uid="{0363CDDE-36CD-4415-BBB3-B2A8C2BF01AC}" name="Tråd dimension"/>
    <tableColumn id="12" xr3:uid="{2E057E81-223E-4886-A470-348CD1F05889}" name="Gastype"/>
    <tableColumn id="13" xr3:uid="{6BF9FB83-E3B6-435C-BE58-A35128AD97BB}" name="Gasflow l/m"/>
    <tableColumn id="14" xr3:uid="{0E43E341-44D1-4ABB-BAE3-4EE1726889C3}" name="Forbrug (WH)"/>
    <tableColumn id="21" xr3:uid="{EB497304-FD35-4A7B-A7C5-9C789DA86010}" name="Forbrug pr mm" dataDxfId="35">
      <calculatedColumnFormula>Tabel3[[#This Row],[Forbrug (WH)]]/Tabel3[[#This Row],[Længde svejsning]]</calculatedColumnFormula>
    </tableColumn>
    <tableColumn id="15" xr3:uid="{C82FD08D-B0E5-447B-BA3A-74FCACD60FA7}" name="Tid"/>
    <tableColumn id="16" xr3:uid="{EB6D0288-DFA3-4C44-B0D7-99091D5D5051}" name="WH/Sek"/>
    <tableColumn id="17" xr3:uid="{22E0B43E-C455-4897-832E-DA2C57AE1F5B}" name="Areal snit" dataDxfId="34">
      <calculatedColumnFormula>((SQRT((POWER((Tabel1[[#This Row],[A mål]]/2),2)+(POWER((Tabel1[[#This Row],[A mål]]/2),2)))))*(SQRT((POWER((Tabel1[[#This Row],[A mål]]/2),2)+(POWER((Tabel1[[#This Row],[A mål]]/2),2))))))/2</calculatedColumnFormula>
    </tableColumn>
    <tableColumn id="18" xr3:uid="{85E7FEA5-A06D-47C8-8502-0020BF6C4D32}" name="Vol svejsning mm" dataDxfId="33">
      <calculatedColumnFormula>Tabel1[[#This Row],[Areal snit]]*Tabel1[[#This Row],[Længde svejsning]]</calculatedColumnFormula>
    </tableColumn>
    <tableColumn id="19" xr3:uid="{F5F69D49-BD48-4876-AF14-6B926150EC2C}" name="Forbrug pr mm3" dataDxfId="32">
      <calculatedColumnFormula>Tabel1[[#This Row],[Forbrug (WH)]]/Tabel1[[#This Row],[Vol svejsning mm]]</calculatedColumnFormula>
    </tableColumn>
  </tableColumns>
  <tableStyleInfo name="TableStyleLight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518952E-C292-45EA-92D7-6893215080D7}" name="Tabel158" displayName="Tabel158" ref="A4:U18" totalsRowShown="0">
  <autoFilter ref="A4:U18" xr:uid="{8518952E-C292-45EA-92D7-6893215080D7}"/>
  <tableColumns count="21">
    <tableColumn id="1" xr3:uid="{D617A732-6B04-49C0-9AAC-A45F4C2EC48C}" name="Test#"/>
    <tableColumn id="2" xr3:uid="{46DFE582-6BA0-4355-B26A-F6BDCB5BE76D}" name="Proces"/>
    <tableColumn id="3" xr3:uid="{D60F7401-B2CF-4368-924F-2161E5530533}" name="Emne dimensioner"/>
    <tableColumn id="18" xr3:uid="{BC57ED49-19A2-4BBF-BFB6-0DACE10A4817}" name="Længde svejsning"/>
    <tableColumn id="4" xr3:uid="{8FB40FD6-18F0-488C-8A2B-E6ABEC652F7A}" name="Emne materiale"/>
    <tableColumn id="5" xr3:uid="{6380C103-3122-4E09-8067-9D9FDC42E206}" name="A mål"/>
    <tableColumn id="6" xr3:uid="{CE1B520C-1609-4F0B-835A-CE1AA92AEFE7}" name="Spænding Volt"/>
    <tableColumn id="7" xr3:uid="{7E023A4A-AD72-4336-AE83-7F288C97D199}" name="Strømindstilling(A)"/>
    <tableColumn id="8" xr3:uid="{CA9C9985-A92C-47AA-86E1-1316EE8B1E45}" name="Trådfremføring (m/min)"/>
    <tableColumn id="9" xr3:uid="{0375D4D5-4169-4631-A11C-70F64408A759}" name="Puls"/>
    <tableColumn id="10" xr3:uid="{A13C1DC5-172D-44F3-A9C3-EAA5F9BA6601}" name="Trådtype"/>
    <tableColumn id="11" xr3:uid="{5FB17C82-69BA-450E-AD91-0A054E6A726B}" name="Tråd dimension"/>
    <tableColumn id="12" xr3:uid="{AA0F7880-4638-4208-A8D0-26DB6B2EA8E4}" name="Gastype"/>
    <tableColumn id="13" xr3:uid="{FAB7F026-085D-4C3D-B8D2-03950ABE920A}" name="Gasflow l/m"/>
    <tableColumn id="14" xr3:uid="{4F844BC5-9BD9-4CC2-A0C6-E3A849DFB558}" name="Forbrug (WH)"/>
    <tableColumn id="17" xr3:uid="{823B7E4A-8E42-4A36-AC8F-8F55A70BC539}" name="Forbrug pr mm" dataDxfId="31">
      <calculatedColumnFormula>Tabel158[[#This Row],[Forbrug (WH)]]/Tabel158[[#This Row],[Længde svejsning]]</calculatedColumnFormula>
    </tableColumn>
    <tableColumn id="15" xr3:uid="{93F1CD45-FF36-4269-AF38-22CC8AA19534}" name="Tid"/>
    <tableColumn id="16" xr3:uid="{B1A8EB8A-67B4-443F-9BE6-0DB5EBD8888F}" name="WH/Sek"/>
    <tableColumn id="19" xr3:uid="{8AD5001E-8135-44A3-B598-594AFFEE643E}" name="Areal snit" dataDxfId="30">
      <calculatedColumnFormula>((SQRT((POWER((Tabel313[[#This Row],[A mål]]/2),2)+(POWER((Tabel313[[#This Row],[A mål]]/2),2)))))*(SQRT((POWER((Tabel313[[#This Row],[A mål]]/2),2)+(POWER((Tabel313[[#This Row],[A mål]]/2),2))))))/2</calculatedColumnFormula>
    </tableColumn>
    <tableColumn id="20" xr3:uid="{1156C8EE-815F-4C4A-9A72-B43124FC1969}" name="Vol svejsning mm" dataDxfId="29">
      <calculatedColumnFormula>Tabel313[[#This Row],[Areal snit]]*Tabel313[[#This Row],[Længde svejsning]]</calculatedColumnFormula>
    </tableColumn>
    <tableColumn id="21" xr3:uid="{F0310342-1E5F-4F0A-AD8E-7D8FE5F1E03D}" name="Forbrug pr mm3" dataDxfId="28">
      <calculatedColumnFormula>Tabel158[[#This Row],[Forbrug (WH)]]/Tabel158[[#This Row],[Vol svejsning mm]]</calculatedColumnFormula>
    </tableColumn>
  </tableColumns>
  <tableStyleInfo name="TableStyleLight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A414950-FBC4-419F-943C-016CC23CA989}" name="Tabel15" displayName="Tabel15" ref="A4:T19" totalsRowShown="0">
  <autoFilter ref="A4:T19" xr:uid="{2A414950-FBC4-419F-943C-016CC23CA989}"/>
  <tableColumns count="20">
    <tableColumn id="1" xr3:uid="{96FAD97E-CC07-4081-AB04-768D4CE46D1D}" name="Test#"/>
    <tableColumn id="2" xr3:uid="{7C727E5A-FC46-41B6-B785-986ABC4D9C38}" name="Proces"/>
    <tableColumn id="3" xr3:uid="{CAD05595-12C2-43A1-B42E-B9A77DB1D681}" name="Emne dimensioner"/>
    <tableColumn id="18" xr3:uid="{C61863C8-8CF1-49D4-9F58-28354CB93549}" name="Længde svejsning"/>
    <tableColumn id="4" xr3:uid="{72AD570B-62CD-44D3-8F64-2E097468459E}" name="Emne materiale"/>
    <tableColumn id="5" xr3:uid="{915A40FA-76DE-4441-AC87-16E243D031DA}" name="A mål"/>
    <tableColumn id="6" xr3:uid="{AF2E1190-C9A4-4E9C-9108-4CC9FAAB96B2}" name="Spænding Volt"/>
    <tableColumn id="7" xr3:uid="{05151F29-5F0A-431A-8626-518AC92E5675}" name="Strømindstilling(A)"/>
    <tableColumn id="8" xr3:uid="{0ABBBEF4-12D7-443A-8C52-908B3A90B82C}" name="Trådfremføring (m/min)"/>
    <tableColumn id="9" xr3:uid="{8EDCAFC1-4EA2-42AA-980B-CC23084DEAAF}" name="Puls"/>
    <tableColumn id="10" xr3:uid="{06F57877-68FD-4F07-8D82-CFF234FDC624}" name="Trådtype"/>
    <tableColumn id="11" xr3:uid="{7B57AE22-3CAB-4995-8DF6-75D787696213}" name="Tråd dimension"/>
    <tableColumn id="12" xr3:uid="{74E5A92C-C798-4078-9276-07B36D2E6B19}" name="Gastype"/>
    <tableColumn id="13" xr3:uid="{1960F630-F2EA-4C89-84AC-8A26D3ABFC5A}" name="Gasflow l/m"/>
    <tableColumn id="14" xr3:uid="{0F6AE0EE-7589-4D82-B198-D387ECEEC5B4}" name="Forbrug (WH)"/>
    <tableColumn id="15" xr3:uid="{2706603B-D912-4485-B500-2FB3C85809CA}" name="Tid"/>
    <tableColumn id="16" xr3:uid="{3C97A1F7-2D90-4FB1-8D5A-D3AAA42590E1}" name="WH/Sek"/>
    <tableColumn id="19" xr3:uid="{61281360-41F8-4983-B16D-C9AEB972C300}" name="Areal snit" dataDxfId="27">
      <calculatedColumnFormula>((SQRT((POWER((Tabel15[[#This Row],[A mål]]/2),2)+(POWER((Tabel15[[#This Row],[A mål]]/2),2)))))*(SQRT((POWER((Tabel15[[#This Row],[A mål]]/2),2)+(POWER((Tabel15[[#This Row],[A mål]]/2),2))))))/2</calculatedColumnFormula>
    </tableColumn>
    <tableColumn id="20" xr3:uid="{9815964A-9C82-44F1-AD6F-58117DBE3A14}" name="Vol svejsning mm" dataDxfId="26">
      <calculatedColumnFormula>Tabel15[[#This Row],[Areal snit]]*Tabel15[[#This Row],[Længde svejsning]]</calculatedColumnFormula>
    </tableColumn>
    <tableColumn id="21" xr3:uid="{764D886A-76CE-4A81-A58F-0350AAD3748A}" name="Forbrug pr mm3" dataDxfId="25">
      <calculatedColumnFormula>Tabel15[[#This Row],[Forbrug (WH)]]/Tabel15[[#This Row],[Vol svejsning mm]]</calculatedColumnFormula>
    </tableColumn>
  </tableColumns>
  <tableStyleInfo name="TableStyleLight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B494B8C-D3EE-4F99-8BE6-70F268D129F2}" name="Tabel159" displayName="Tabel159" ref="A4:T19" totalsRowShown="0">
  <autoFilter ref="A4:T19" xr:uid="{5B494B8C-D3EE-4F99-8BE6-70F268D129F2}"/>
  <tableColumns count="20">
    <tableColumn id="1" xr3:uid="{3DAAB1E2-12DE-4AE6-A3EA-80BCCC72A30A}" name="Test#"/>
    <tableColumn id="2" xr3:uid="{9F99BD38-A07B-4BA4-A053-17406D76F2F3}" name="Proces"/>
    <tableColumn id="3" xr3:uid="{7F858007-EB42-4BC6-9BF3-7DB71CE6E1E3}" name="Emne dimensioner"/>
    <tableColumn id="18" xr3:uid="{D3477B32-4D5B-4E0A-98C7-C09DD4BDC90C}" name="Længde svejsning"/>
    <tableColumn id="4" xr3:uid="{668E67D7-04C0-4BD6-B0F5-7A5E5BBC4F9E}" name="Emne materiale"/>
    <tableColumn id="5" xr3:uid="{EAEFA854-C184-4DAC-A81C-41B858939A36}" name="A mål"/>
    <tableColumn id="6" xr3:uid="{C642E112-65C0-4266-A7B3-2F1CA89A09C3}" name="Spænding Volt"/>
    <tableColumn id="7" xr3:uid="{240DED09-3038-4332-9345-FB7AEBB6383F}" name="Strømindstilling(A)"/>
    <tableColumn id="8" xr3:uid="{F300EA5D-66F9-462B-B64F-578FDDB31EBE}" name="Trådfremføring (m/min)"/>
    <tableColumn id="9" xr3:uid="{7AC98E97-15AB-43EB-89A0-2A008B65F691}" name="Puls"/>
    <tableColumn id="10" xr3:uid="{4273D9A6-8DFE-4E95-A353-04365156006B}" name="Trådtype"/>
    <tableColumn id="11" xr3:uid="{F4821BA8-3F76-41FD-B135-DF24CCF1CC37}" name="Tråd dimension"/>
    <tableColumn id="12" xr3:uid="{78F3519C-50C0-41DD-B0EA-A7385EA5EB42}" name="Gastype"/>
    <tableColumn id="13" xr3:uid="{D5C5BB69-95A4-436C-9B88-B00AA6449055}" name="Gasflow l/m"/>
    <tableColumn id="14" xr3:uid="{938CCF4A-CB82-4FB2-B8E6-C76DC2C054A6}" name="Forbrug (WH)"/>
    <tableColumn id="15" xr3:uid="{09F72545-1628-43E1-A868-6EC05482FA2A}" name="Tid"/>
    <tableColumn id="16" xr3:uid="{2F6B996F-D77E-47A0-916B-EDF50221769F}" name="WH/Sek"/>
    <tableColumn id="19" xr3:uid="{74BFA410-6D22-4740-95CE-86A966EB1FDB}" name="Areal snit" dataDxfId="24">
      <calculatedColumnFormula>((SQRT((POWER((Tabel159[[#This Row],[A mål]]/2),2)+(POWER((Tabel159[[#This Row],[A mål]]/2),2)))))*(SQRT((POWER((Tabel159[[#This Row],[A mål]]/2),2)+(POWER((Tabel159[[#This Row],[A mål]]/2),2))))))/2</calculatedColumnFormula>
    </tableColumn>
    <tableColumn id="20" xr3:uid="{D53BABD6-0F3A-4089-8AE0-F396E14BD882}" name="Vol svejsning mm" dataDxfId="23">
      <calculatedColumnFormula>Tabel159[[#This Row],[Areal snit]]*Tabel159[[#This Row],[Længde svejsning]]</calculatedColumnFormula>
    </tableColumn>
    <tableColumn id="21" xr3:uid="{1473F39A-A07F-4855-A2E9-F17C1F1CA1E4}" name="Forbrug pr mm3" dataDxfId="22">
      <calculatedColumnFormula>Tabel159[[#This Row],[Forbrug (WH)]]/Tabel159[[#This Row],[Vol svejsning mm]]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noFill/>
      </a:spPr>
      <a:bodyPr vertOverflow="clip" horzOverflow="clip" wrap="none" rtlCol="0" anchor="t">
        <a:spAutoFit/>
      </a:bodyPr>
      <a:lstStyle>
        <a:defPPr algn="l"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table" Target="../tables/table10.xml"/><Relationship Id="rId1" Type="http://schemas.openxmlformats.org/officeDocument/2006/relationships/vmlDrawing" Target="../drawings/vmlDrawing8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comments" Target="../comments1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4.xml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7.xml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8.xml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9.xml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70B61-1B04-45AC-B35A-EED213A0AD7F}">
  <sheetPr codeName="Ark1"/>
  <dimension ref="A1:A109"/>
  <sheetViews>
    <sheetView topLeftCell="A76" zoomScale="52" workbookViewId="0">
      <selection activeCell="A114" sqref="A114"/>
    </sheetView>
  </sheetViews>
  <sheetFormatPr defaultRowHeight="14.5" x14ac:dyDescent="0.35"/>
  <cols>
    <col min="1" max="1" width="94.26953125" style="23" customWidth="1"/>
  </cols>
  <sheetData>
    <row r="1" spans="1:1" ht="43.5" x14ac:dyDescent="0.35">
      <c r="A1" s="23" t="s">
        <v>0</v>
      </c>
    </row>
    <row r="3" spans="1:1" x14ac:dyDescent="0.35">
      <c r="A3" s="23" t="s">
        <v>1</v>
      </c>
    </row>
    <row r="7" spans="1:1" ht="43.5" x14ac:dyDescent="0.35">
      <c r="A7" s="24" t="s">
        <v>2</v>
      </c>
    </row>
    <row r="9" spans="1:1" x14ac:dyDescent="0.35">
      <c r="A9" s="23" t="s">
        <v>3</v>
      </c>
    </row>
    <row r="11" spans="1:1" ht="29" x14ac:dyDescent="0.35">
      <c r="A11" s="23" t="s">
        <v>4</v>
      </c>
    </row>
    <row r="18" spans="1:1" ht="29" x14ac:dyDescent="0.35">
      <c r="A18" s="23" t="s">
        <v>5</v>
      </c>
    </row>
    <row r="19" spans="1:1" x14ac:dyDescent="0.35">
      <c r="A19" s="23" t="s">
        <v>6</v>
      </c>
    </row>
    <row r="20" spans="1:1" ht="29" x14ac:dyDescent="0.35">
      <c r="A20" s="23" t="s">
        <v>7</v>
      </c>
    </row>
    <row r="31" spans="1:1" ht="29" x14ac:dyDescent="0.35">
      <c r="A31" s="23" t="s">
        <v>8</v>
      </c>
    </row>
    <row r="39" spans="1:1" x14ac:dyDescent="0.35">
      <c r="A39" s="23" t="s">
        <v>9</v>
      </c>
    </row>
    <row r="55" spans="1:1" ht="29" x14ac:dyDescent="0.35">
      <c r="A55" s="23" t="s">
        <v>10</v>
      </c>
    </row>
    <row r="57" spans="1:1" x14ac:dyDescent="0.35">
      <c r="A57" s="23" t="s">
        <v>11</v>
      </c>
    </row>
    <row r="63" spans="1:1" x14ac:dyDescent="0.35">
      <c r="A63" s="23" t="s">
        <v>12</v>
      </c>
    </row>
    <row r="65" spans="1:1" x14ac:dyDescent="0.35">
      <c r="A65" s="23" t="s">
        <v>13</v>
      </c>
    </row>
    <row r="79" spans="1:1" ht="29" x14ac:dyDescent="0.35">
      <c r="A79" s="23" t="s">
        <v>14</v>
      </c>
    </row>
    <row r="84" spans="1:1" x14ac:dyDescent="0.35">
      <c r="A84" s="23" t="s">
        <v>15</v>
      </c>
    </row>
    <row r="98" spans="1:1" x14ac:dyDescent="0.35">
      <c r="A98" s="23" t="s">
        <v>16</v>
      </c>
    </row>
    <row r="100" spans="1:1" x14ac:dyDescent="0.35">
      <c r="A100" s="23" t="s">
        <v>17</v>
      </c>
    </row>
    <row r="109" spans="1:1" x14ac:dyDescent="0.35">
      <c r="A109" s="23" t="s">
        <v>18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26457-D75F-4A04-9448-517022644A08}">
  <sheetPr codeName="Ark10"/>
  <dimension ref="A1:S16"/>
  <sheetViews>
    <sheetView workbookViewId="0">
      <selection activeCell="A17" sqref="A17"/>
    </sheetView>
  </sheetViews>
  <sheetFormatPr defaultRowHeight="14.5" x14ac:dyDescent="0.35"/>
  <cols>
    <col min="1" max="1" width="19.453125" bestFit="1" customWidth="1"/>
    <col min="2" max="2" width="10.54296875" bestFit="1" customWidth="1"/>
    <col min="3" max="3" width="15.26953125" bestFit="1" customWidth="1"/>
    <col min="4" max="4" width="9.81640625" bestFit="1" customWidth="1"/>
    <col min="5" max="5" width="11.54296875" bestFit="1" customWidth="1"/>
    <col min="6" max="6" width="11" bestFit="1" customWidth="1"/>
    <col min="7" max="8" width="13.54296875" bestFit="1" customWidth="1"/>
  </cols>
  <sheetData>
    <row r="1" spans="1:19" x14ac:dyDescent="0.35">
      <c r="A1" s="42" t="s">
        <v>91</v>
      </c>
      <c r="B1" s="42"/>
      <c r="C1" s="42"/>
      <c r="D1" s="42"/>
      <c r="E1" s="42"/>
    </row>
    <row r="3" spans="1:19" x14ac:dyDescent="0.35">
      <c r="A3" t="s">
        <v>21</v>
      </c>
      <c r="B3" t="s">
        <v>92</v>
      </c>
      <c r="C3" t="s">
        <v>93</v>
      </c>
      <c r="D3" t="s">
        <v>94</v>
      </c>
      <c r="E3" t="s">
        <v>95</v>
      </c>
      <c r="F3" t="s">
        <v>96</v>
      </c>
      <c r="G3" t="s">
        <v>97</v>
      </c>
      <c r="H3" t="s">
        <v>98</v>
      </c>
      <c r="K3" s="46" t="s">
        <v>99</v>
      </c>
      <c r="L3" s="46"/>
      <c r="M3" s="46"/>
      <c r="N3" s="46"/>
      <c r="O3" s="46"/>
      <c r="P3" s="46"/>
      <c r="Q3" s="46"/>
      <c r="R3" s="46"/>
      <c r="S3" s="46"/>
    </row>
    <row r="4" spans="1:19" x14ac:dyDescent="0.35">
      <c r="A4">
        <v>1</v>
      </c>
      <c r="B4" t="s">
        <v>100</v>
      </c>
      <c r="C4">
        <v>1.5</v>
      </c>
      <c r="D4">
        <v>73.7</v>
      </c>
      <c r="F4" t="s">
        <v>101</v>
      </c>
      <c r="G4">
        <v>10</v>
      </c>
      <c r="H4">
        <v>45</v>
      </c>
      <c r="K4" s="46"/>
      <c r="L4" s="46"/>
      <c r="M4" s="46"/>
      <c r="N4" s="46"/>
      <c r="O4" s="46"/>
      <c r="P4" s="46"/>
      <c r="Q4" s="46"/>
      <c r="R4" s="46"/>
      <c r="S4" s="46"/>
    </row>
    <row r="5" spans="1:19" x14ac:dyDescent="0.35">
      <c r="A5" t="s">
        <v>102</v>
      </c>
      <c r="B5" t="s">
        <v>100</v>
      </c>
      <c r="C5">
        <v>1.5</v>
      </c>
      <c r="D5">
        <f>D4/Tabel27[[#This Row],[Antal]]</f>
        <v>7.37</v>
      </c>
      <c r="F5" t="s">
        <v>101</v>
      </c>
      <c r="G5">
        <v>10</v>
      </c>
      <c r="K5" s="46"/>
      <c r="L5" s="46"/>
      <c r="M5" s="46"/>
      <c r="N5" s="46"/>
      <c r="O5" s="46"/>
      <c r="P5" s="46"/>
      <c r="Q5" s="46"/>
      <c r="R5" s="46"/>
      <c r="S5" s="46"/>
    </row>
    <row r="6" spans="1:19" x14ac:dyDescent="0.35">
      <c r="A6" t="s">
        <v>103</v>
      </c>
      <c r="B6" t="s">
        <v>100</v>
      </c>
      <c r="C6">
        <v>1.5</v>
      </c>
      <c r="D6">
        <f>D5/400</f>
        <v>1.8425E-2</v>
      </c>
      <c r="F6" t="s">
        <v>101</v>
      </c>
      <c r="G6">
        <v>10</v>
      </c>
      <c r="K6" s="46"/>
      <c r="L6" s="46"/>
      <c r="M6" s="46"/>
      <c r="N6" s="46"/>
      <c r="O6" s="46"/>
      <c r="P6" s="46"/>
      <c r="Q6" s="46"/>
      <c r="R6" s="46"/>
      <c r="S6" s="46"/>
    </row>
    <row r="7" spans="1:19" x14ac:dyDescent="0.35">
      <c r="K7" s="46"/>
      <c r="L7" s="46"/>
      <c r="M7" s="46"/>
      <c r="N7" s="46"/>
      <c r="O7" s="46"/>
      <c r="P7" s="46"/>
      <c r="Q7" s="46"/>
      <c r="R7" s="46"/>
      <c r="S7" s="46"/>
    </row>
    <row r="8" spans="1:19" x14ac:dyDescent="0.35">
      <c r="A8">
        <v>1</v>
      </c>
      <c r="B8" t="s">
        <v>100</v>
      </c>
      <c r="C8">
        <v>2</v>
      </c>
      <c r="D8">
        <v>82.23</v>
      </c>
      <c r="F8" t="s">
        <v>101</v>
      </c>
      <c r="G8">
        <v>10</v>
      </c>
      <c r="H8">
        <v>45</v>
      </c>
      <c r="K8" s="46"/>
      <c r="L8" s="46"/>
      <c r="M8" s="46"/>
      <c r="N8" s="46"/>
      <c r="O8" s="46"/>
      <c r="P8" s="46"/>
      <c r="Q8" s="46"/>
      <c r="R8" s="46"/>
      <c r="S8" s="46"/>
    </row>
    <row r="9" spans="1:19" x14ac:dyDescent="0.35">
      <c r="A9" t="s">
        <v>102</v>
      </c>
      <c r="B9" t="s">
        <v>100</v>
      </c>
      <c r="C9">
        <v>2</v>
      </c>
      <c r="D9">
        <f>D8/Tabel27[[#This Row],[Antal]]</f>
        <v>8.2230000000000008</v>
      </c>
      <c r="F9" t="s">
        <v>101</v>
      </c>
      <c r="G9">
        <v>10</v>
      </c>
    </row>
    <row r="10" spans="1:19" x14ac:dyDescent="0.35">
      <c r="A10" t="s">
        <v>103</v>
      </c>
      <c r="C10">
        <v>2</v>
      </c>
      <c r="D10">
        <f>D9/400</f>
        <v>2.0557500000000003E-2</v>
      </c>
      <c r="F10" t="s">
        <v>101</v>
      </c>
      <c r="G10">
        <v>10</v>
      </c>
    </row>
    <row r="12" spans="1:19" x14ac:dyDescent="0.35">
      <c r="A12">
        <v>1</v>
      </c>
      <c r="B12" t="s">
        <v>100</v>
      </c>
      <c r="C12">
        <v>3</v>
      </c>
      <c r="D12">
        <v>134.4</v>
      </c>
      <c r="F12" t="s">
        <v>101</v>
      </c>
      <c r="G12">
        <v>10</v>
      </c>
      <c r="H12">
        <v>45</v>
      </c>
    </row>
    <row r="13" spans="1:19" x14ac:dyDescent="0.35">
      <c r="A13" s="7">
        <v>2</v>
      </c>
      <c r="B13" s="7" t="s">
        <v>100</v>
      </c>
      <c r="C13" s="7">
        <v>3</v>
      </c>
      <c r="D13" s="7">
        <v>198</v>
      </c>
      <c r="E13" s="7"/>
      <c r="F13" s="7" t="s">
        <v>101</v>
      </c>
      <c r="G13" s="7">
        <v>10</v>
      </c>
      <c r="H13" s="7">
        <v>85</v>
      </c>
    </row>
    <row r="14" spans="1:19" x14ac:dyDescent="0.35">
      <c r="A14" s="7">
        <v>3</v>
      </c>
      <c r="B14" s="7" t="s">
        <v>100</v>
      </c>
      <c r="C14" s="7">
        <v>3</v>
      </c>
      <c r="D14" s="7">
        <v>164</v>
      </c>
      <c r="E14" s="7"/>
      <c r="F14" s="7" t="s">
        <v>101</v>
      </c>
      <c r="G14" s="7">
        <v>10</v>
      </c>
      <c r="H14" s="7">
        <v>65</v>
      </c>
    </row>
    <row r="15" spans="1:19" x14ac:dyDescent="0.35">
      <c r="A15" t="s">
        <v>102</v>
      </c>
      <c r="B15" t="s">
        <v>100</v>
      </c>
      <c r="C15">
        <v>3</v>
      </c>
      <c r="D15">
        <f>D14/Tabel27[[#This Row],[Antal]]</f>
        <v>16.399999999999999</v>
      </c>
      <c r="F15" t="s">
        <v>101</v>
      </c>
      <c r="G15">
        <v>10</v>
      </c>
      <c r="H15">
        <v>45</v>
      </c>
    </row>
    <row r="16" spans="1:19" x14ac:dyDescent="0.35">
      <c r="A16" t="s">
        <v>103</v>
      </c>
      <c r="C16">
        <v>3</v>
      </c>
      <c r="D16">
        <f>D15/400</f>
        <v>4.0999999999999995E-2</v>
      </c>
      <c r="F16" t="s">
        <v>101</v>
      </c>
    </row>
  </sheetData>
  <mergeCells count="2">
    <mergeCell ref="A1:E1"/>
    <mergeCell ref="K3:S8"/>
  </mergeCells>
  <pageMargins left="0.7" right="0.7" top="0.75" bottom="0.75" header="0.3" footer="0.3"/>
  <legacy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A08EE-CE70-4091-94E6-9E09BB016909}">
  <sheetPr codeName="Ark11"/>
  <dimension ref="A1:P52"/>
  <sheetViews>
    <sheetView topLeftCell="A2" workbookViewId="0">
      <selection activeCell="E19" sqref="E19"/>
    </sheetView>
  </sheetViews>
  <sheetFormatPr defaultRowHeight="14.5" x14ac:dyDescent="0.35"/>
  <cols>
    <col min="1" max="1" width="15.7265625" bestFit="1" customWidth="1"/>
    <col min="2" max="2" width="10.54296875" bestFit="1" customWidth="1"/>
    <col min="3" max="3" width="15.26953125" bestFit="1" customWidth="1"/>
    <col min="4" max="4" width="13.453125" bestFit="1" customWidth="1"/>
    <col min="5" max="5" width="11.54296875" bestFit="1" customWidth="1"/>
    <col min="6" max="6" width="11" bestFit="1" customWidth="1"/>
  </cols>
  <sheetData>
    <row r="1" spans="1:16" x14ac:dyDescent="0.35">
      <c r="A1" s="42" t="s">
        <v>104</v>
      </c>
      <c r="B1" s="42"/>
      <c r="C1" s="42"/>
      <c r="D1" s="42"/>
      <c r="E1" s="42"/>
    </row>
    <row r="3" spans="1:16" ht="14.5" customHeight="1" x14ac:dyDescent="0.35">
      <c r="A3" t="s">
        <v>21</v>
      </c>
      <c r="B3" t="s">
        <v>92</v>
      </c>
      <c r="C3" t="s">
        <v>93</v>
      </c>
      <c r="D3" t="s">
        <v>105</v>
      </c>
      <c r="E3" t="s">
        <v>95</v>
      </c>
      <c r="F3" t="s">
        <v>96</v>
      </c>
      <c r="G3" t="s">
        <v>97</v>
      </c>
      <c r="I3" s="47" t="s">
        <v>106</v>
      </c>
      <c r="J3" s="47"/>
      <c r="K3" s="47"/>
      <c r="L3" s="47"/>
      <c r="M3" s="47"/>
      <c r="N3" s="47"/>
      <c r="O3" s="47"/>
      <c r="P3" s="47"/>
    </row>
    <row r="4" spans="1:16" x14ac:dyDescent="0.35">
      <c r="I4" s="47"/>
      <c r="J4" s="47"/>
      <c r="K4" s="47"/>
      <c r="L4" s="47"/>
      <c r="M4" s="47"/>
      <c r="N4" s="47"/>
      <c r="O4" s="47"/>
      <c r="P4" s="47"/>
    </row>
    <row r="5" spans="1:16" x14ac:dyDescent="0.35">
      <c r="I5" s="47"/>
      <c r="J5" s="47"/>
      <c r="K5" s="47"/>
      <c r="L5" s="47"/>
      <c r="M5" s="47"/>
      <c r="N5" s="47"/>
      <c r="O5" s="47"/>
      <c r="P5" s="47"/>
    </row>
    <row r="6" spans="1:16" x14ac:dyDescent="0.35">
      <c r="A6">
        <v>1</v>
      </c>
      <c r="C6">
        <v>1.5</v>
      </c>
      <c r="D6">
        <f>D7/2</f>
        <v>1.82</v>
      </c>
      <c r="F6" t="s">
        <v>101</v>
      </c>
      <c r="I6" s="47"/>
      <c r="J6" s="47"/>
      <c r="K6" s="47"/>
      <c r="L6" s="47"/>
      <c r="M6" s="47"/>
      <c r="N6" s="47"/>
      <c r="O6" s="47"/>
      <c r="P6" s="47"/>
    </row>
    <row r="7" spans="1:16" x14ac:dyDescent="0.35">
      <c r="A7">
        <v>2</v>
      </c>
      <c r="C7">
        <v>1.5</v>
      </c>
      <c r="D7">
        <v>3.64</v>
      </c>
      <c r="F7" t="s">
        <v>101</v>
      </c>
      <c r="I7" s="47"/>
      <c r="J7" s="47"/>
      <c r="K7" s="47"/>
      <c r="L7" s="47"/>
      <c r="M7" s="47"/>
      <c r="N7" s="47"/>
      <c r="O7" s="47"/>
      <c r="P7" s="47"/>
    </row>
    <row r="8" spans="1:16" x14ac:dyDescent="0.35">
      <c r="A8">
        <v>3</v>
      </c>
      <c r="C8">
        <v>1.5</v>
      </c>
      <c r="D8">
        <f>1.37+3.64</f>
        <v>5.01</v>
      </c>
      <c r="F8" t="s">
        <v>101</v>
      </c>
    </row>
    <row r="9" spans="1:16" x14ac:dyDescent="0.35">
      <c r="A9">
        <v>4</v>
      </c>
      <c r="C9">
        <v>1.5</v>
      </c>
      <c r="D9">
        <f>2.84+3.64</f>
        <v>6.48</v>
      </c>
      <c r="F9" t="s">
        <v>101</v>
      </c>
    </row>
    <row r="10" spans="1:16" x14ac:dyDescent="0.35">
      <c r="A10">
        <v>5</v>
      </c>
      <c r="C10">
        <v>1.5</v>
      </c>
      <c r="D10">
        <f>4.24+3.64</f>
        <v>7.8800000000000008</v>
      </c>
      <c r="F10" t="s">
        <v>101</v>
      </c>
    </row>
    <row r="11" spans="1:16" x14ac:dyDescent="0.35">
      <c r="A11">
        <v>6</v>
      </c>
      <c r="C11">
        <v>1.5</v>
      </c>
      <c r="D11">
        <f>5.64+3.64</f>
        <v>9.2799999999999994</v>
      </c>
      <c r="F11" t="s">
        <v>101</v>
      </c>
    </row>
    <row r="12" spans="1:16" x14ac:dyDescent="0.35">
      <c r="A12">
        <v>7</v>
      </c>
      <c r="C12">
        <v>1.5</v>
      </c>
      <c r="D12">
        <f>7.06+3.64</f>
        <v>10.7</v>
      </c>
      <c r="F12" t="s">
        <v>101</v>
      </c>
    </row>
    <row r="13" spans="1:16" x14ac:dyDescent="0.35">
      <c r="A13">
        <v>8</v>
      </c>
      <c r="C13">
        <v>1.5</v>
      </c>
      <c r="D13">
        <f>8.43+3.64</f>
        <v>12.07</v>
      </c>
      <c r="F13" t="s">
        <v>101</v>
      </c>
    </row>
    <row r="14" spans="1:16" x14ac:dyDescent="0.35">
      <c r="A14">
        <v>9</v>
      </c>
      <c r="C14">
        <v>1.5</v>
      </c>
      <c r="D14">
        <f>9.79+3.64</f>
        <v>13.43</v>
      </c>
      <c r="F14" t="s">
        <v>101</v>
      </c>
    </row>
    <row r="15" spans="1:16" x14ac:dyDescent="0.35">
      <c r="A15">
        <v>10</v>
      </c>
      <c r="C15">
        <v>1.5</v>
      </c>
      <c r="D15">
        <f>11.31+3.64</f>
        <v>14.950000000000001</v>
      </c>
      <c r="F15" t="s">
        <v>101</v>
      </c>
    </row>
    <row r="16" spans="1:16" x14ac:dyDescent="0.35">
      <c r="A16">
        <v>11</v>
      </c>
      <c r="C16">
        <v>1.5</v>
      </c>
      <c r="D16">
        <f>12.69+3.64</f>
        <v>16.329999999999998</v>
      </c>
      <c r="F16" t="s">
        <v>101</v>
      </c>
    </row>
    <row r="17" spans="1:9" x14ac:dyDescent="0.35">
      <c r="A17">
        <v>12</v>
      </c>
      <c r="C17">
        <v>1.5</v>
      </c>
      <c r="D17">
        <f>14.13+3.64</f>
        <v>17.77</v>
      </c>
    </row>
    <row r="18" spans="1:9" x14ac:dyDescent="0.35">
      <c r="A18" t="s">
        <v>102</v>
      </c>
      <c r="D18">
        <f>SUM(D17)/10</f>
        <v>1.7769999999999999</v>
      </c>
      <c r="G18">
        <v>10</v>
      </c>
    </row>
    <row r="19" spans="1:9" x14ac:dyDescent="0.35">
      <c r="A19" t="s">
        <v>107</v>
      </c>
      <c r="D19">
        <f>D18/400</f>
        <v>4.4424999999999994E-3</v>
      </c>
      <c r="I19" t="s">
        <v>108</v>
      </c>
    </row>
    <row r="20" spans="1:9" x14ac:dyDescent="0.35">
      <c r="I20" t="s">
        <v>109</v>
      </c>
    </row>
    <row r="23" spans="1:9" x14ac:dyDescent="0.35">
      <c r="A23">
        <v>1</v>
      </c>
      <c r="B23" t="s">
        <v>100</v>
      </c>
      <c r="C23">
        <v>2</v>
      </c>
      <c r="D23">
        <v>1.75</v>
      </c>
      <c r="E23" t="s">
        <v>110</v>
      </c>
      <c r="F23" t="s">
        <v>101</v>
      </c>
    </row>
    <row r="24" spans="1:9" x14ac:dyDescent="0.35">
      <c r="A24">
        <v>2</v>
      </c>
      <c r="C24">
        <v>2</v>
      </c>
      <c r="D24">
        <v>3.5</v>
      </c>
      <c r="E24" t="s">
        <v>110</v>
      </c>
      <c r="F24" t="s">
        <v>101</v>
      </c>
    </row>
    <row r="25" spans="1:9" x14ac:dyDescent="0.35">
      <c r="A25">
        <v>3</v>
      </c>
      <c r="C25">
        <v>2</v>
      </c>
      <c r="D25">
        <v>5.1100000000000003</v>
      </c>
      <c r="E25" t="s">
        <v>111</v>
      </c>
      <c r="F25" t="s">
        <v>101</v>
      </c>
    </row>
    <row r="26" spans="1:9" x14ac:dyDescent="0.35">
      <c r="A26">
        <v>4</v>
      </c>
      <c r="C26">
        <v>2</v>
      </c>
      <c r="D26">
        <v>6.78</v>
      </c>
      <c r="E26" t="s">
        <v>111</v>
      </c>
      <c r="F26" t="s">
        <v>101</v>
      </c>
    </row>
    <row r="27" spans="1:9" x14ac:dyDescent="0.35">
      <c r="A27">
        <v>5</v>
      </c>
      <c r="C27">
        <v>2</v>
      </c>
      <c r="D27">
        <v>8.23</v>
      </c>
      <c r="E27" t="s">
        <v>111</v>
      </c>
      <c r="F27" t="s">
        <v>101</v>
      </c>
    </row>
    <row r="28" spans="1:9" x14ac:dyDescent="0.35">
      <c r="A28">
        <v>6</v>
      </c>
      <c r="C28">
        <v>2</v>
      </c>
      <c r="D28">
        <v>9.68</v>
      </c>
      <c r="E28" t="s">
        <v>111</v>
      </c>
      <c r="F28" t="s">
        <v>101</v>
      </c>
    </row>
    <row r="29" spans="1:9" x14ac:dyDescent="0.35">
      <c r="A29">
        <v>7</v>
      </c>
      <c r="C29">
        <v>2</v>
      </c>
      <c r="D29">
        <v>11.14</v>
      </c>
      <c r="E29" t="s">
        <v>111</v>
      </c>
      <c r="F29" t="s">
        <v>101</v>
      </c>
    </row>
    <row r="30" spans="1:9" x14ac:dyDescent="0.35">
      <c r="A30">
        <v>8</v>
      </c>
      <c r="C30">
        <v>2</v>
      </c>
      <c r="D30">
        <v>12.49</v>
      </c>
      <c r="E30" t="s">
        <v>111</v>
      </c>
      <c r="F30" t="s">
        <v>101</v>
      </c>
    </row>
    <row r="31" spans="1:9" x14ac:dyDescent="0.35">
      <c r="A31">
        <v>9</v>
      </c>
      <c r="C31">
        <v>2</v>
      </c>
      <c r="D31">
        <v>13.96</v>
      </c>
      <c r="E31" t="s">
        <v>111</v>
      </c>
      <c r="F31" t="s">
        <v>101</v>
      </c>
    </row>
    <row r="32" spans="1:9" x14ac:dyDescent="0.35">
      <c r="A32">
        <v>10</v>
      </c>
      <c r="C32">
        <v>2</v>
      </c>
      <c r="D32">
        <v>15.4</v>
      </c>
      <c r="E32" t="s">
        <v>111</v>
      </c>
      <c r="F32" t="s">
        <v>101</v>
      </c>
    </row>
    <row r="33" spans="1:7" x14ac:dyDescent="0.35">
      <c r="A33">
        <v>11</v>
      </c>
      <c r="C33">
        <v>2</v>
      </c>
      <c r="D33">
        <v>16.829999999999998</v>
      </c>
      <c r="E33" t="s">
        <v>111</v>
      </c>
      <c r="F33" t="s">
        <v>101</v>
      </c>
    </row>
    <row r="34" spans="1:7" x14ac:dyDescent="0.35">
      <c r="A34" t="s">
        <v>102</v>
      </c>
      <c r="D34">
        <f>SUM(D33)/10</f>
        <v>1.6829999999999998</v>
      </c>
      <c r="G34">
        <v>10</v>
      </c>
    </row>
    <row r="35" spans="1:7" x14ac:dyDescent="0.35">
      <c r="A35" t="s">
        <v>107</v>
      </c>
      <c r="D35">
        <f>D34/400</f>
        <v>4.2074999999999994E-3</v>
      </c>
    </row>
    <row r="39" spans="1:7" x14ac:dyDescent="0.35">
      <c r="A39">
        <v>1</v>
      </c>
      <c r="C39">
        <v>3</v>
      </c>
      <c r="D39">
        <v>1.51</v>
      </c>
      <c r="F39" t="s">
        <v>101</v>
      </c>
    </row>
    <row r="40" spans="1:7" x14ac:dyDescent="0.35">
      <c r="A40">
        <v>2</v>
      </c>
      <c r="C40">
        <v>3</v>
      </c>
      <c r="D40">
        <v>3.02</v>
      </c>
      <c r="F40" t="s">
        <v>101</v>
      </c>
    </row>
    <row r="41" spans="1:7" x14ac:dyDescent="0.35">
      <c r="A41">
        <v>3</v>
      </c>
      <c r="C41">
        <v>3</v>
      </c>
      <c r="D41">
        <v>4.54</v>
      </c>
      <c r="F41" t="s">
        <v>101</v>
      </c>
    </row>
    <row r="42" spans="1:7" x14ac:dyDescent="0.35">
      <c r="A42">
        <v>4</v>
      </c>
      <c r="C42">
        <v>3</v>
      </c>
      <c r="D42">
        <v>7.46</v>
      </c>
      <c r="F42" t="s">
        <v>101</v>
      </c>
    </row>
    <row r="43" spans="1:7" x14ac:dyDescent="0.35">
      <c r="A43">
        <v>5</v>
      </c>
      <c r="C43">
        <v>3</v>
      </c>
      <c r="F43" t="s">
        <v>101</v>
      </c>
    </row>
    <row r="44" spans="1:7" x14ac:dyDescent="0.35">
      <c r="A44">
        <v>6</v>
      </c>
      <c r="C44">
        <v>3</v>
      </c>
      <c r="D44">
        <v>9.48</v>
      </c>
      <c r="F44" t="s">
        <v>101</v>
      </c>
    </row>
    <row r="45" spans="1:7" x14ac:dyDescent="0.35">
      <c r="A45">
        <v>7</v>
      </c>
      <c r="C45">
        <v>3</v>
      </c>
      <c r="D45">
        <v>10.93</v>
      </c>
      <c r="F45" t="s">
        <v>101</v>
      </c>
    </row>
    <row r="46" spans="1:7" x14ac:dyDescent="0.35">
      <c r="A46">
        <v>8</v>
      </c>
      <c r="C46">
        <v>3</v>
      </c>
      <c r="D46">
        <v>12.41</v>
      </c>
      <c r="F46" t="s">
        <v>101</v>
      </c>
    </row>
    <row r="47" spans="1:7" x14ac:dyDescent="0.35">
      <c r="A47">
        <v>9</v>
      </c>
      <c r="C47">
        <v>3</v>
      </c>
      <c r="D47">
        <v>13.9</v>
      </c>
      <c r="F47" t="s">
        <v>101</v>
      </c>
    </row>
    <row r="48" spans="1:7" x14ac:dyDescent="0.35">
      <c r="A48">
        <v>10</v>
      </c>
      <c r="C48">
        <v>3</v>
      </c>
      <c r="D48">
        <v>15.54</v>
      </c>
      <c r="F48" t="s">
        <v>101</v>
      </c>
    </row>
    <row r="49" spans="1:7" x14ac:dyDescent="0.35">
      <c r="A49">
        <v>11</v>
      </c>
      <c r="C49">
        <v>3</v>
      </c>
      <c r="D49">
        <v>17.04</v>
      </c>
      <c r="F49" t="s">
        <v>101</v>
      </c>
    </row>
    <row r="50" spans="1:7" x14ac:dyDescent="0.35">
      <c r="A50">
        <v>12</v>
      </c>
      <c r="C50">
        <v>3</v>
      </c>
      <c r="D50">
        <v>18.5</v>
      </c>
      <c r="G50">
        <v>10</v>
      </c>
    </row>
    <row r="51" spans="1:7" x14ac:dyDescent="0.35">
      <c r="A51" t="s">
        <v>102</v>
      </c>
      <c r="D51">
        <f>SUM(D50)/10</f>
        <v>1.85</v>
      </c>
    </row>
    <row r="52" spans="1:7" x14ac:dyDescent="0.35">
      <c r="A52" t="s">
        <v>107</v>
      </c>
      <c r="D52">
        <f>D51/400</f>
        <v>4.6250000000000006E-3</v>
      </c>
    </row>
  </sheetData>
  <mergeCells count="2">
    <mergeCell ref="A1:E1"/>
    <mergeCell ref="I3:P7"/>
  </mergeCell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4B1A2-62CB-4BC6-B204-F7C1A2F284ED}">
  <sheetPr codeName="Ark14"/>
  <dimension ref="A1:Q20"/>
  <sheetViews>
    <sheetView workbookViewId="0">
      <selection activeCell="N19" sqref="N19"/>
    </sheetView>
  </sheetViews>
  <sheetFormatPr defaultRowHeight="14.5" x14ac:dyDescent="0.35"/>
  <cols>
    <col min="1" max="1" width="19.453125" bestFit="1" customWidth="1"/>
    <col min="2" max="2" width="10.26953125" bestFit="1" customWidth="1"/>
    <col min="3" max="3" width="14.81640625" bestFit="1" customWidth="1"/>
    <col min="4" max="4" width="13.26953125" customWidth="1"/>
    <col min="5" max="5" width="11.54296875" bestFit="1" customWidth="1"/>
    <col min="6" max="6" width="10.54296875" bestFit="1" customWidth="1"/>
    <col min="7" max="7" width="7.7265625" bestFit="1" customWidth="1"/>
    <col min="8" max="8" width="13.453125" bestFit="1" customWidth="1"/>
    <col min="10" max="10" width="10.453125" bestFit="1" customWidth="1"/>
    <col min="13" max="13" width="26.7265625" customWidth="1"/>
    <col min="14" max="14" width="15.26953125" bestFit="1" customWidth="1"/>
    <col min="15" max="15" width="10.54296875" bestFit="1" customWidth="1"/>
  </cols>
  <sheetData>
    <row r="1" spans="1:17" ht="15" thickBot="1" x14ac:dyDescent="0.4">
      <c r="A1" s="14" t="s">
        <v>21</v>
      </c>
      <c r="B1" s="14" t="s">
        <v>92</v>
      </c>
      <c r="C1" s="14" t="s">
        <v>93</v>
      </c>
      <c r="D1" s="14" t="s">
        <v>112</v>
      </c>
      <c r="E1" s="14" t="s">
        <v>95</v>
      </c>
      <c r="F1" s="14" t="s">
        <v>96</v>
      </c>
      <c r="G1" s="14" t="s">
        <v>97</v>
      </c>
      <c r="H1" s="14" t="s">
        <v>98</v>
      </c>
      <c r="I1" s="14" t="s">
        <v>37</v>
      </c>
      <c r="J1" s="29" t="s">
        <v>113</v>
      </c>
      <c r="K1" s="27"/>
    </row>
    <row r="2" spans="1:17" x14ac:dyDescent="0.35">
      <c r="A2" s="13">
        <v>1</v>
      </c>
      <c r="B2" s="13" t="s">
        <v>100</v>
      </c>
      <c r="C2" s="13">
        <v>1.5</v>
      </c>
      <c r="D2" s="13">
        <v>239</v>
      </c>
      <c r="E2" s="13"/>
      <c r="F2" s="13" t="s">
        <v>101</v>
      </c>
      <c r="G2" s="13">
        <v>5</v>
      </c>
      <c r="H2" s="13"/>
      <c r="I2" s="13" t="s">
        <v>114</v>
      </c>
      <c r="J2" s="28">
        <f>Tabel11[[#This Row],[Forbrug wh]]/2000</f>
        <v>0.1195</v>
      </c>
      <c r="K2" s="28"/>
      <c r="M2" s="16" t="s">
        <v>115</v>
      </c>
      <c r="N2" s="17" t="s">
        <v>116</v>
      </c>
      <c r="O2" s="18" t="s">
        <v>117</v>
      </c>
      <c r="P2" t="s">
        <v>118</v>
      </c>
      <c r="Q2" t="s">
        <v>119</v>
      </c>
    </row>
    <row r="3" spans="1:17" ht="15" thickBot="1" x14ac:dyDescent="0.4">
      <c r="A3" s="15" t="s">
        <v>102</v>
      </c>
      <c r="B3" s="13"/>
      <c r="C3" s="13"/>
      <c r="D3" s="13"/>
      <c r="E3" s="13"/>
      <c r="F3" s="13"/>
      <c r="G3" s="13"/>
      <c r="H3" s="13"/>
      <c r="I3" s="13"/>
      <c r="J3" s="28"/>
      <c r="K3" s="28"/>
      <c r="M3" s="19" t="s">
        <v>120</v>
      </c>
      <c r="N3" s="20">
        <v>3.29</v>
      </c>
      <c r="O3" s="21" t="s">
        <v>121</v>
      </c>
      <c r="P3">
        <v>353</v>
      </c>
      <c r="Q3" t="s">
        <v>122</v>
      </c>
    </row>
    <row r="4" spans="1:17" x14ac:dyDescent="0.35">
      <c r="A4" t="s">
        <v>103</v>
      </c>
      <c r="B4" s="13"/>
      <c r="C4" s="13"/>
      <c r="D4" s="13"/>
      <c r="E4" s="13"/>
      <c r="F4" s="13"/>
      <c r="G4" s="13"/>
      <c r="H4" s="13"/>
      <c r="I4" s="13"/>
      <c r="J4" s="28"/>
      <c r="K4" s="28"/>
    </row>
    <row r="5" spans="1:17" x14ac:dyDescent="0.35">
      <c r="A5" s="13"/>
      <c r="B5" s="13"/>
      <c r="C5" s="13"/>
      <c r="D5" s="13"/>
      <c r="E5" s="13"/>
      <c r="F5" s="13"/>
      <c r="G5" s="13"/>
      <c r="H5" s="13"/>
      <c r="I5" s="13"/>
      <c r="J5" s="28"/>
      <c r="K5" s="28"/>
    </row>
    <row r="6" spans="1:17" x14ac:dyDescent="0.35">
      <c r="A6" s="13"/>
      <c r="B6" s="13"/>
      <c r="C6" s="13"/>
      <c r="D6" s="13"/>
      <c r="E6" s="13"/>
      <c r="F6" s="13"/>
      <c r="G6" s="13"/>
      <c r="H6" s="13"/>
      <c r="I6" s="13"/>
      <c r="J6" s="28"/>
      <c r="K6" s="28"/>
    </row>
    <row r="7" spans="1:17" x14ac:dyDescent="0.35">
      <c r="A7" s="13">
        <v>1</v>
      </c>
      <c r="B7" s="13" t="s">
        <v>100</v>
      </c>
      <c r="C7" s="13">
        <v>2</v>
      </c>
      <c r="D7" s="13">
        <v>473.7</v>
      </c>
      <c r="E7" s="13"/>
      <c r="F7" s="13" t="s">
        <v>101</v>
      </c>
      <c r="G7" s="13">
        <v>10</v>
      </c>
      <c r="H7" s="13"/>
      <c r="I7" s="13" t="s">
        <v>123</v>
      </c>
      <c r="J7" s="28">
        <f>Tabel11[[#This Row],[Forbrug wh]]/4000</f>
        <v>0.118425</v>
      </c>
      <c r="K7" s="28"/>
    </row>
    <row r="8" spans="1:17" x14ac:dyDescent="0.35">
      <c r="A8" s="13" t="s">
        <v>102</v>
      </c>
      <c r="B8" s="13"/>
      <c r="C8" s="13"/>
      <c r="D8" s="13"/>
      <c r="E8" s="13"/>
      <c r="F8" s="13"/>
      <c r="G8" s="13"/>
      <c r="H8" s="13"/>
      <c r="I8" s="13"/>
      <c r="J8" s="28"/>
      <c r="K8" s="28"/>
    </row>
    <row r="9" spans="1:17" x14ac:dyDescent="0.35">
      <c r="A9" s="15" t="s">
        <v>103</v>
      </c>
      <c r="B9" s="13"/>
      <c r="C9" s="13"/>
      <c r="D9" s="13"/>
      <c r="E9" s="13"/>
      <c r="F9" s="13"/>
      <c r="G9" s="13"/>
      <c r="H9" s="13"/>
      <c r="I9" s="13"/>
      <c r="J9" s="28"/>
      <c r="K9" s="28"/>
    </row>
    <row r="10" spans="1:17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28"/>
      <c r="K10" s="28"/>
    </row>
    <row r="11" spans="1:17" x14ac:dyDescent="0.35">
      <c r="A11" s="13"/>
      <c r="B11" s="13"/>
      <c r="C11" s="13"/>
      <c r="D11" s="13"/>
      <c r="E11" s="13"/>
      <c r="F11" s="13"/>
      <c r="G11" s="13"/>
      <c r="H11" s="13"/>
      <c r="I11" s="13"/>
      <c r="J11" s="28"/>
      <c r="K11" s="28"/>
    </row>
    <row r="12" spans="1:17" x14ac:dyDescent="0.35">
      <c r="A12" s="13">
        <v>1</v>
      </c>
      <c r="B12" s="13" t="s">
        <v>100</v>
      </c>
      <c r="C12" s="13">
        <v>3</v>
      </c>
      <c r="D12" s="13">
        <v>285</v>
      </c>
      <c r="E12" s="13"/>
      <c r="F12" s="13" t="s">
        <v>101</v>
      </c>
      <c r="G12" s="13">
        <v>5</v>
      </c>
      <c r="H12" s="13"/>
      <c r="I12" s="13" t="s">
        <v>124</v>
      </c>
      <c r="J12" s="28">
        <f>Tabel11[[#This Row],[Forbrug wh]]/2000</f>
        <v>0.14249999999999999</v>
      </c>
      <c r="K12" s="28"/>
    </row>
    <row r="13" spans="1:17" x14ac:dyDescent="0.35">
      <c r="A13" s="15" t="s">
        <v>102</v>
      </c>
      <c r="B13" s="13"/>
      <c r="C13" s="13"/>
      <c r="D13" s="13"/>
      <c r="E13" s="13"/>
      <c r="F13" s="13"/>
      <c r="G13" s="13"/>
      <c r="H13" s="13"/>
      <c r="I13" s="13"/>
      <c r="J13" s="28"/>
      <c r="K13" s="28"/>
    </row>
    <row r="14" spans="1:17" x14ac:dyDescent="0.35">
      <c r="A14" t="s">
        <v>103</v>
      </c>
      <c r="B14" s="13"/>
      <c r="C14" s="13"/>
      <c r="D14" s="13"/>
      <c r="E14" s="13"/>
      <c r="F14" s="13"/>
      <c r="G14" s="13"/>
      <c r="H14" s="13"/>
      <c r="I14" s="13"/>
      <c r="J14" s="28"/>
      <c r="K14" s="28"/>
    </row>
    <row r="15" spans="1:17" x14ac:dyDescent="0.35">
      <c r="A15" s="13"/>
      <c r="B15" s="13"/>
      <c r="C15" s="13"/>
      <c r="D15" s="13"/>
      <c r="E15" s="13"/>
      <c r="F15" s="13"/>
      <c r="G15" s="13"/>
      <c r="H15" s="13"/>
      <c r="I15" s="13"/>
      <c r="J15" s="28"/>
      <c r="K15" s="28"/>
    </row>
    <row r="16" spans="1:17" ht="43.5" x14ac:dyDescent="0.35">
      <c r="A16" s="13"/>
      <c r="B16" s="13"/>
      <c r="C16" s="13"/>
      <c r="D16" s="13"/>
      <c r="E16" s="13"/>
      <c r="F16" s="13"/>
      <c r="G16" s="13"/>
      <c r="H16" s="13"/>
      <c r="I16" s="13"/>
      <c r="J16" s="28"/>
      <c r="K16" s="28"/>
      <c r="M16" s="23" t="s">
        <v>125</v>
      </c>
    </row>
    <row r="17" spans="1:11" x14ac:dyDescent="0.35">
      <c r="A17" s="13"/>
      <c r="B17" s="13"/>
      <c r="C17" s="13"/>
      <c r="D17" s="13"/>
      <c r="E17" s="13"/>
      <c r="F17" s="13"/>
      <c r="G17" s="13"/>
      <c r="H17" s="13"/>
      <c r="I17" s="13"/>
      <c r="J17" s="28"/>
      <c r="K17" s="28"/>
    </row>
    <row r="18" spans="1:11" x14ac:dyDescent="0.35">
      <c r="A18" s="13"/>
      <c r="B18" s="13"/>
      <c r="C18" s="13"/>
      <c r="D18" s="13"/>
      <c r="E18" s="13"/>
      <c r="F18" s="13"/>
      <c r="G18" s="13"/>
      <c r="H18" s="13"/>
      <c r="I18" s="13"/>
      <c r="J18" s="28"/>
      <c r="K18" s="28"/>
    </row>
    <row r="19" spans="1:11" x14ac:dyDescent="0.35">
      <c r="A19" s="13"/>
      <c r="B19" s="13"/>
      <c r="C19" s="13"/>
      <c r="D19" s="13"/>
      <c r="E19" s="13"/>
      <c r="F19" s="13"/>
      <c r="G19" s="13"/>
      <c r="H19" s="13"/>
      <c r="I19" s="13"/>
      <c r="J19" s="28"/>
      <c r="K19" s="28"/>
    </row>
    <row r="20" spans="1:11" x14ac:dyDescent="0.35">
      <c r="A20" s="13"/>
      <c r="B20" s="13"/>
      <c r="C20" s="13"/>
      <c r="D20" s="13"/>
      <c r="E20" s="13"/>
      <c r="F20" s="13"/>
      <c r="G20" s="13"/>
      <c r="H20" s="13"/>
      <c r="I20" s="13"/>
      <c r="J20" s="28"/>
      <c r="K20" s="28"/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2CDA6-C9AE-4D80-90C0-97D3F89A92F0}">
  <sheetPr codeName="Ark12"/>
  <dimension ref="B1:H44"/>
  <sheetViews>
    <sheetView workbookViewId="0">
      <selection activeCell="V42" sqref="V42"/>
    </sheetView>
  </sheetViews>
  <sheetFormatPr defaultRowHeight="14.5" x14ac:dyDescent="0.35"/>
  <cols>
    <col min="4" max="4" width="12.26953125" bestFit="1" customWidth="1"/>
    <col min="5" max="5" width="7.26953125" bestFit="1" customWidth="1"/>
  </cols>
  <sheetData>
    <row r="1" spans="2:8" x14ac:dyDescent="0.35">
      <c r="B1" s="42" t="s">
        <v>126</v>
      </c>
      <c r="C1" s="42"/>
      <c r="D1" s="42"/>
      <c r="E1" s="42"/>
      <c r="F1" s="42"/>
    </row>
    <row r="3" spans="2:8" x14ac:dyDescent="0.35">
      <c r="B3" t="s">
        <v>127</v>
      </c>
      <c r="C3" t="s">
        <v>92</v>
      </c>
      <c r="D3" t="s">
        <v>93</v>
      </c>
      <c r="E3" t="s">
        <v>94</v>
      </c>
      <c r="F3" t="s">
        <v>95</v>
      </c>
    </row>
    <row r="4" spans="2:8" x14ac:dyDescent="0.35">
      <c r="B4">
        <v>1</v>
      </c>
      <c r="C4" t="s">
        <v>100</v>
      </c>
      <c r="D4">
        <v>1.5</v>
      </c>
      <c r="E4">
        <v>8.6999999999999993</v>
      </c>
    </row>
    <row r="5" spans="2:8" x14ac:dyDescent="0.35">
      <c r="B5">
        <v>2</v>
      </c>
      <c r="C5" t="s">
        <v>100</v>
      </c>
      <c r="D5">
        <v>1.5</v>
      </c>
      <c r="E5">
        <v>7.7</v>
      </c>
    </row>
    <row r="6" spans="2:8" x14ac:dyDescent="0.35">
      <c r="B6">
        <v>3</v>
      </c>
      <c r="C6" t="s">
        <v>100</v>
      </c>
      <c r="D6">
        <v>1.5</v>
      </c>
      <c r="E6">
        <v>6.6</v>
      </c>
    </row>
    <row r="7" spans="2:8" x14ac:dyDescent="0.35">
      <c r="B7">
        <v>4</v>
      </c>
      <c r="C7" t="s">
        <v>100</v>
      </c>
      <c r="D7">
        <v>1.5</v>
      </c>
      <c r="E7">
        <v>4.9000000000000004</v>
      </c>
    </row>
    <row r="8" spans="2:8" x14ac:dyDescent="0.35">
      <c r="B8">
        <v>5</v>
      </c>
      <c r="C8" t="s">
        <v>100</v>
      </c>
      <c r="D8">
        <v>1.5</v>
      </c>
      <c r="E8">
        <v>4.7</v>
      </c>
    </row>
    <row r="9" spans="2:8" x14ac:dyDescent="0.35">
      <c r="B9">
        <v>6</v>
      </c>
      <c r="C9" t="s">
        <v>100</v>
      </c>
      <c r="D9">
        <v>1.5</v>
      </c>
      <c r="E9">
        <v>4.9000000000000004</v>
      </c>
    </row>
    <row r="10" spans="2:8" x14ac:dyDescent="0.35">
      <c r="B10">
        <v>7</v>
      </c>
      <c r="C10" t="s">
        <v>100</v>
      </c>
      <c r="D10">
        <v>1.5</v>
      </c>
      <c r="E10">
        <v>4.8</v>
      </c>
    </row>
    <row r="11" spans="2:8" x14ac:dyDescent="0.35">
      <c r="B11">
        <v>8</v>
      </c>
      <c r="C11" t="s">
        <v>100</v>
      </c>
      <c r="D11">
        <v>1.5</v>
      </c>
      <c r="E11">
        <v>4.4000000000000004</v>
      </c>
      <c r="H11" t="s">
        <v>128</v>
      </c>
    </row>
    <row r="12" spans="2:8" x14ac:dyDescent="0.35">
      <c r="B12">
        <v>9</v>
      </c>
      <c r="C12" t="s">
        <v>100</v>
      </c>
      <c r="D12">
        <v>1.5</v>
      </c>
      <c r="E12">
        <v>4.5</v>
      </c>
      <c r="H12">
        <f>SUM(E4:E16)</f>
        <v>72.900000000000006</v>
      </c>
    </row>
    <row r="13" spans="2:8" x14ac:dyDescent="0.35">
      <c r="B13">
        <v>10</v>
      </c>
      <c r="C13" t="s">
        <v>100</v>
      </c>
      <c r="D13">
        <v>1.5</v>
      </c>
      <c r="E13">
        <v>4.7</v>
      </c>
    </row>
    <row r="14" spans="2:8" x14ac:dyDescent="0.35">
      <c r="B14">
        <v>11</v>
      </c>
      <c r="C14" t="s">
        <v>100</v>
      </c>
      <c r="D14">
        <v>1.5</v>
      </c>
      <c r="E14">
        <v>5.5</v>
      </c>
    </row>
    <row r="15" spans="2:8" x14ac:dyDescent="0.35">
      <c r="B15">
        <v>12</v>
      </c>
      <c r="C15" t="s">
        <v>100</v>
      </c>
      <c r="D15">
        <v>1.5</v>
      </c>
      <c r="E15">
        <v>5.0999999999999996</v>
      </c>
      <c r="H15" t="s">
        <v>113</v>
      </c>
    </row>
    <row r="16" spans="2:8" x14ac:dyDescent="0.35">
      <c r="B16">
        <v>13</v>
      </c>
      <c r="C16" t="s">
        <v>100</v>
      </c>
      <c r="D16">
        <v>1.5</v>
      </c>
      <c r="E16">
        <v>6.4</v>
      </c>
      <c r="H16">
        <f>SUM(E4:E16)/4000</f>
        <v>1.8225000000000002E-2</v>
      </c>
    </row>
    <row r="18" spans="2:8" x14ac:dyDescent="0.35">
      <c r="B18">
        <v>1</v>
      </c>
      <c r="D18">
        <v>2</v>
      </c>
      <c r="E18">
        <v>12.75</v>
      </c>
      <c r="F18" s="22" t="s">
        <v>129</v>
      </c>
    </row>
    <row r="19" spans="2:8" x14ac:dyDescent="0.35">
      <c r="B19">
        <v>2</v>
      </c>
      <c r="D19">
        <v>2</v>
      </c>
      <c r="E19">
        <v>10.5</v>
      </c>
      <c r="F19" s="22" t="s">
        <v>129</v>
      </c>
    </row>
    <row r="20" spans="2:8" x14ac:dyDescent="0.35">
      <c r="B20">
        <v>3</v>
      </c>
      <c r="D20">
        <v>2</v>
      </c>
      <c r="E20">
        <v>5.3</v>
      </c>
      <c r="F20" s="22" t="s">
        <v>130</v>
      </c>
    </row>
    <row r="21" spans="2:8" x14ac:dyDescent="0.35">
      <c r="B21">
        <v>4</v>
      </c>
      <c r="D21">
        <v>2</v>
      </c>
      <c r="E21">
        <v>8.5</v>
      </c>
      <c r="F21" s="22" t="s">
        <v>130</v>
      </c>
    </row>
    <row r="22" spans="2:8" x14ac:dyDescent="0.35">
      <c r="B22">
        <v>5</v>
      </c>
      <c r="D22">
        <v>2</v>
      </c>
      <c r="E22">
        <v>6.3</v>
      </c>
      <c r="F22" s="22" t="s">
        <v>130</v>
      </c>
    </row>
    <row r="23" spans="2:8" x14ac:dyDescent="0.35">
      <c r="B23">
        <v>6</v>
      </c>
      <c r="D23">
        <v>2</v>
      </c>
      <c r="E23">
        <v>5.5</v>
      </c>
      <c r="F23" s="22" t="s">
        <v>130</v>
      </c>
    </row>
    <row r="24" spans="2:8" x14ac:dyDescent="0.35">
      <c r="B24">
        <v>7</v>
      </c>
      <c r="D24">
        <v>2</v>
      </c>
      <c r="E24">
        <v>8.8000000000000007</v>
      </c>
      <c r="F24" s="22" t="s">
        <v>130</v>
      </c>
    </row>
    <row r="25" spans="2:8" x14ac:dyDescent="0.35">
      <c r="B25">
        <v>8</v>
      </c>
      <c r="D25">
        <v>2</v>
      </c>
      <c r="E25">
        <v>5.2</v>
      </c>
      <c r="F25" s="22" t="s">
        <v>130</v>
      </c>
      <c r="H25" t="s">
        <v>128</v>
      </c>
    </row>
    <row r="26" spans="2:8" x14ac:dyDescent="0.35">
      <c r="B26">
        <v>9</v>
      </c>
      <c r="D26">
        <v>2</v>
      </c>
      <c r="E26">
        <v>5</v>
      </c>
      <c r="F26" s="22" t="s">
        <v>130</v>
      </c>
      <c r="H26">
        <f>SUM(E18:E30)</f>
        <v>87.45</v>
      </c>
    </row>
    <row r="27" spans="2:8" x14ac:dyDescent="0.35">
      <c r="B27">
        <v>10</v>
      </c>
      <c r="D27">
        <v>2</v>
      </c>
      <c r="E27">
        <v>4.5</v>
      </c>
      <c r="F27" s="22" t="s">
        <v>130</v>
      </c>
    </row>
    <row r="28" spans="2:8" x14ac:dyDescent="0.35">
      <c r="B28">
        <v>11</v>
      </c>
      <c r="D28">
        <v>2</v>
      </c>
      <c r="E28">
        <v>4.45</v>
      </c>
      <c r="F28" s="22" t="s">
        <v>130</v>
      </c>
    </row>
    <row r="29" spans="2:8" x14ac:dyDescent="0.35">
      <c r="B29">
        <v>12</v>
      </c>
      <c r="D29">
        <v>2</v>
      </c>
      <c r="E29">
        <v>4.9000000000000004</v>
      </c>
      <c r="F29" s="22" t="s">
        <v>130</v>
      </c>
      <c r="H29" t="s">
        <v>113</v>
      </c>
    </row>
    <row r="30" spans="2:8" x14ac:dyDescent="0.35">
      <c r="B30">
        <v>13</v>
      </c>
      <c r="D30">
        <v>3</v>
      </c>
      <c r="E30">
        <v>5.75</v>
      </c>
      <c r="F30" s="22" t="s">
        <v>130</v>
      </c>
      <c r="H30">
        <f>SUM(E18:E30)/4000</f>
        <v>2.18625E-2</v>
      </c>
    </row>
    <row r="32" spans="2:8" x14ac:dyDescent="0.35">
      <c r="B32">
        <v>1</v>
      </c>
      <c r="D32">
        <v>3</v>
      </c>
      <c r="E32">
        <v>9.6999999999999993</v>
      </c>
      <c r="F32" s="22" t="s">
        <v>129</v>
      </c>
    </row>
    <row r="33" spans="2:8" x14ac:dyDescent="0.35">
      <c r="B33">
        <v>2</v>
      </c>
      <c r="D33">
        <v>3</v>
      </c>
      <c r="E33">
        <v>7.8</v>
      </c>
      <c r="F33" s="22" t="s">
        <v>129</v>
      </c>
    </row>
    <row r="34" spans="2:8" x14ac:dyDescent="0.35">
      <c r="B34">
        <v>3</v>
      </c>
      <c r="D34">
        <v>3</v>
      </c>
      <c r="E34">
        <v>4.9000000000000004</v>
      </c>
      <c r="F34" s="22" t="s">
        <v>130</v>
      </c>
    </row>
    <row r="35" spans="2:8" x14ac:dyDescent="0.35">
      <c r="B35">
        <v>4</v>
      </c>
      <c r="D35">
        <v>3</v>
      </c>
      <c r="E35">
        <v>4.2</v>
      </c>
      <c r="F35" s="22" t="s">
        <v>130</v>
      </c>
    </row>
    <row r="36" spans="2:8" x14ac:dyDescent="0.35">
      <c r="B36">
        <v>5</v>
      </c>
      <c r="D36">
        <v>3</v>
      </c>
      <c r="E36">
        <v>4.4000000000000004</v>
      </c>
      <c r="F36" s="22" t="s">
        <v>130</v>
      </c>
    </row>
    <row r="37" spans="2:8" x14ac:dyDescent="0.35">
      <c r="B37">
        <v>6</v>
      </c>
      <c r="D37">
        <v>3</v>
      </c>
      <c r="E37">
        <v>5</v>
      </c>
      <c r="F37" s="22" t="s">
        <v>130</v>
      </c>
    </row>
    <row r="38" spans="2:8" x14ac:dyDescent="0.35">
      <c r="B38">
        <v>7</v>
      </c>
      <c r="D38">
        <v>3</v>
      </c>
      <c r="E38">
        <v>5.3</v>
      </c>
      <c r="F38" s="22" t="s">
        <v>130</v>
      </c>
    </row>
    <row r="39" spans="2:8" x14ac:dyDescent="0.35">
      <c r="B39">
        <v>8</v>
      </c>
      <c r="D39">
        <v>3</v>
      </c>
      <c r="E39">
        <v>5.4</v>
      </c>
      <c r="F39" s="22" t="s">
        <v>130</v>
      </c>
      <c r="H39" t="s">
        <v>128</v>
      </c>
    </row>
    <row r="40" spans="2:8" x14ac:dyDescent="0.35">
      <c r="B40">
        <v>9</v>
      </c>
      <c r="D40">
        <v>3</v>
      </c>
      <c r="E40">
        <v>5.6</v>
      </c>
      <c r="F40" s="22" t="s">
        <v>130</v>
      </c>
      <c r="H40">
        <f>SUM(E32:E44)</f>
        <v>72.5</v>
      </c>
    </row>
    <row r="41" spans="2:8" x14ac:dyDescent="0.35">
      <c r="B41">
        <v>10</v>
      </c>
      <c r="D41">
        <v>3</v>
      </c>
      <c r="E41">
        <v>3.5</v>
      </c>
      <c r="F41" s="22" t="s">
        <v>130</v>
      </c>
    </row>
    <row r="42" spans="2:8" x14ac:dyDescent="0.35">
      <c r="B42">
        <v>11</v>
      </c>
      <c r="D42">
        <v>3</v>
      </c>
      <c r="E42">
        <v>6.2</v>
      </c>
      <c r="F42" s="22" t="s">
        <v>130</v>
      </c>
    </row>
    <row r="43" spans="2:8" x14ac:dyDescent="0.35">
      <c r="B43">
        <v>12</v>
      </c>
      <c r="D43">
        <v>3</v>
      </c>
      <c r="E43">
        <v>4.8</v>
      </c>
      <c r="F43" s="22" t="s">
        <v>130</v>
      </c>
      <c r="H43" t="s">
        <v>113</v>
      </c>
    </row>
    <row r="44" spans="2:8" x14ac:dyDescent="0.35">
      <c r="B44">
        <v>13</v>
      </c>
      <c r="D44">
        <v>3</v>
      </c>
      <c r="E44">
        <v>5.7</v>
      </c>
      <c r="F44" s="22" t="s">
        <v>130</v>
      </c>
      <c r="H44">
        <f>SUM(E32:E44)/4000</f>
        <v>1.8124999999999999E-2</v>
      </c>
    </row>
  </sheetData>
  <mergeCells count="1">
    <mergeCell ref="B1:F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F3440-37FD-443E-8990-5DD4B4F2B18F}">
  <sheetPr codeName="Ark13"/>
  <dimension ref="A2:S53"/>
  <sheetViews>
    <sheetView tabSelected="1" workbookViewId="0">
      <selection activeCell="G4" sqref="G4"/>
    </sheetView>
  </sheetViews>
  <sheetFormatPr defaultRowHeight="14.5" x14ac:dyDescent="0.35"/>
  <cols>
    <col min="1" max="1" width="38.7265625" bestFit="1" customWidth="1"/>
    <col min="2" max="2" width="24.54296875" bestFit="1" customWidth="1"/>
    <col min="3" max="3" width="38.26953125" bestFit="1" customWidth="1"/>
    <col min="4" max="4" width="33" bestFit="1" customWidth="1"/>
    <col min="6" max="6" width="8.81640625" customWidth="1"/>
    <col min="7" max="7" width="24.1796875" customWidth="1"/>
    <col min="8" max="8" width="19.7265625" bestFit="1" customWidth="1"/>
    <col min="9" max="9" width="27.26953125" customWidth="1"/>
    <col min="10" max="10" width="26.54296875" bestFit="1" customWidth="1"/>
    <col min="11" max="11" width="27.453125" bestFit="1" customWidth="1"/>
    <col min="12" max="12" width="15.453125" customWidth="1"/>
    <col min="13" max="13" width="21.81640625" bestFit="1" customWidth="1"/>
    <col min="14" max="14" width="13.54296875" bestFit="1" customWidth="1"/>
  </cols>
  <sheetData>
    <row r="2" spans="1:11" x14ac:dyDescent="0.35">
      <c r="A2" s="48" t="s">
        <v>131</v>
      </c>
      <c r="B2" s="49"/>
      <c r="C2" s="49"/>
      <c r="D2" s="50"/>
      <c r="G2" s="51" t="s">
        <v>132</v>
      </c>
      <c r="H2" s="52"/>
      <c r="I2" s="52"/>
      <c r="J2" s="52"/>
      <c r="K2" s="53"/>
    </row>
    <row r="3" spans="1:11" ht="14.5" customHeight="1" x14ac:dyDescent="0.35">
      <c r="A3" s="10" t="s">
        <v>22</v>
      </c>
      <c r="B3" s="10" t="s">
        <v>133</v>
      </c>
      <c r="C3" s="10" t="s">
        <v>134</v>
      </c>
      <c r="D3" s="10" t="s">
        <v>135</v>
      </c>
      <c r="G3" s="31" t="s">
        <v>136</v>
      </c>
      <c r="H3" s="9" t="s">
        <v>133</v>
      </c>
      <c r="I3" s="9" t="s">
        <v>137</v>
      </c>
      <c r="J3" s="9" t="s">
        <v>138</v>
      </c>
      <c r="K3" s="32" t="s">
        <v>139</v>
      </c>
    </row>
    <row r="4" spans="1:11" ht="14.5" customHeight="1" x14ac:dyDescent="0.35">
      <c r="A4" s="10" t="s">
        <v>140</v>
      </c>
      <c r="B4" s="10" t="s">
        <v>52</v>
      </c>
      <c r="C4" s="11">
        <v>1.5</v>
      </c>
      <c r="D4" s="12">
        <f>('Data samling svejsning'!S42+'Data samling svejsning'!S60)/2</f>
        <v>0.11803030303030304</v>
      </c>
      <c r="G4" s="33"/>
      <c r="K4" s="34" cm="1">
        <f t="array" ref="K4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5" spans="1:11" x14ac:dyDescent="0.35">
      <c r="A5" s="10" t="s">
        <v>140</v>
      </c>
      <c r="B5" s="10" t="s">
        <v>52</v>
      </c>
      <c r="C5" s="11">
        <v>3</v>
      </c>
      <c r="D5" s="12">
        <f>('Data samling svejsning'!S36+'Data samling svejsning'!S54)/2</f>
        <v>0.43049999999999999</v>
      </c>
      <c r="G5" s="33"/>
      <c r="K5" s="34" cm="1">
        <f t="array" ref="K5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6" spans="1:11" x14ac:dyDescent="0.35">
      <c r="A6" s="10" t="s">
        <v>140</v>
      </c>
      <c r="B6" s="10" t="s">
        <v>141</v>
      </c>
      <c r="C6" s="11">
        <v>3</v>
      </c>
      <c r="D6" s="12">
        <f>('Data samling svejsning'!S11+'Data samling svejsning'!S23)/2</f>
        <v>0.20380303030303032</v>
      </c>
      <c r="G6" s="33"/>
      <c r="K6" s="34" cm="1">
        <f t="array" ref="K6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7" spans="1:11" x14ac:dyDescent="0.35">
      <c r="A7" s="10" t="s">
        <v>140</v>
      </c>
      <c r="B7" s="10" t="s">
        <v>141</v>
      </c>
      <c r="C7" s="11">
        <v>8</v>
      </c>
      <c r="D7" s="12">
        <f>('Data samling svejsning'!S17+'Data samling svejsning'!S29)/2</f>
        <v>0.37790909090909086</v>
      </c>
      <c r="G7" s="33"/>
      <c r="K7" s="34" cm="1">
        <f t="array" ref="K7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8" spans="1:11" x14ac:dyDescent="0.35">
      <c r="A8" s="10" t="s">
        <v>140</v>
      </c>
      <c r="B8" s="10" t="s">
        <v>142</v>
      </c>
      <c r="C8" s="11">
        <v>8</v>
      </c>
      <c r="D8" s="12">
        <f>('Data samling svejsning'!S48+'Data samling svejsning'!S66)/2</f>
        <v>0.3103030303030303</v>
      </c>
      <c r="G8" s="33"/>
      <c r="K8" s="34" cm="1">
        <f t="array" ref="K8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9" spans="1:11" x14ac:dyDescent="0.35">
      <c r="A9" s="10" t="s">
        <v>143</v>
      </c>
      <c r="B9" s="10" t="s">
        <v>144</v>
      </c>
      <c r="C9" s="11">
        <v>1.5</v>
      </c>
      <c r="D9" s="12">
        <f>'HM WKS 125050'!D19</f>
        <v>4.4424999999999994E-3</v>
      </c>
      <c r="G9" s="33"/>
      <c r="K9" s="34" cm="1">
        <f t="array" ref="K9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10" spans="1:11" x14ac:dyDescent="0.35">
      <c r="A10" s="10" t="s">
        <v>143</v>
      </c>
      <c r="B10" s="10" t="s">
        <v>144</v>
      </c>
      <c r="C10" s="11">
        <v>2</v>
      </c>
      <c r="D10" s="12">
        <f>'HM WKS 125050'!D35</f>
        <v>4.2074999999999994E-3</v>
      </c>
      <c r="G10" s="33"/>
      <c r="K10" s="34" cm="1">
        <f t="array" ref="K10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11" spans="1:11" x14ac:dyDescent="0.35">
      <c r="A11" s="10" t="s">
        <v>143</v>
      </c>
      <c r="B11" s="10" t="s">
        <v>144</v>
      </c>
      <c r="C11" s="11">
        <v>3</v>
      </c>
      <c r="D11" s="12">
        <f>'HM WKS 125050'!D52</f>
        <v>4.6250000000000006E-3</v>
      </c>
      <c r="G11" s="33"/>
      <c r="K11" s="34" cm="1">
        <f t="array" ref="K11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12" spans="1:11" x14ac:dyDescent="0.35">
      <c r="A12" s="10" t="s">
        <v>143</v>
      </c>
      <c r="B12" s="10" t="s">
        <v>91</v>
      </c>
      <c r="C12" s="11">
        <v>1.5</v>
      </c>
      <c r="D12" s="12">
        <f>'Hypotherm Powermax 105'!D6</f>
        <v>1.8425E-2</v>
      </c>
      <c r="G12" s="33"/>
      <c r="K12" s="34" cm="1">
        <f t="array" ref="K12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13" spans="1:11" x14ac:dyDescent="0.35">
      <c r="A13" s="10" t="s">
        <v>143</v>
      </c>
      <c r="B13" s="10" t="s">
        <v>91</v>
      </c>
      <c r="C13" s="11">
        <v>2</v>
      </c>
      <c r="D13" s="12">
        <f>'Hypotherm Powermax 105'!D10</f>
        <v>2.0557500000000003E-2</v>
      </c>
      <c r="G13" s="33"/>
      <c r="K13" s="34" cm="1">
        <f t="array" ref="K13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14" spans="1:11" x14ac:dyDescent="0.35">
      <c r="A14" s="10" t="s">
        <v>143</v>
      </c>
      <c r="B14" s="10" t="s">
        <v>91</v>
      </c>
      <c r="C14" s="11">
        <v>3</v>
      </c>
      <c r="D14" s="12">
        <f>'Hypotherm Powermax 105'!D16</f>
        <v>4.0999999999999995E-2</v>
      </c>
      <c r="G14" s="33"/>
      <c r="K14" s="34" cm="1">
        <f t="array" ref="K14">(INDEX(Tabel9[WH pr MM],MATCH(1,(Tabel9[Teknologi]=Tabel18[[#This Row],[Teknologi]])*(Tabel9[Dimensionsenhed (Godstykkelse)]=Tabel18[[#This Row],[Materiale dimension]]),0)))*Tabel18[[#This Row],[Bearbejdningslængde i mm]]</f>
        <v>0</v>
      </c>
    </row>
    <row r="15" spans="1:11" ht="21" x14ac:dyDescent="0.5">
      <c r="A15" s="10" t="s">
        <v>143</v>
      </c>
      <c r="B15" s="10" t="s">
        <v>145</v>
      </c>
      <c r="C15" s="11">
        <v>1.5</v>
      </c>
      <c r="D15" s="12">
        <f>'HydKlip HMS 30.06'!H16</f>
        <v>1.8225000000000002E-2</v>
      </c>
      <c r="G15" s="35"/>
      <c r="H15" s="36"/>
      <c r="I15" s="36"/>
      <c r="J15" s="30" t="s">
        <v>146</v>
      </c>
      <c r="K15" s="37">
        <f>SUM(K4:K14)</f>
        <v>0</v>
      </c>
    </row>
    <row r="16" spans="1:11" ht="21" x14ac:dyDescent="0.5">
      <c r="A16" s="10" t="s">
        <v>143</v>
      </c>
      <c r="B16" s="10" t="s">
        <v>145</v>
      </c>
      <c r="C16" s="11">
        <v>2</v>
      </c>
      <c r="D16" s="12">
        <f>'HydKlip HMS 30.06'!H30</f>
        <v>2.18625E-2</v>
      </c>
      <c r="G16" s="38"/>
      <c r="H16" s="39"/>
      <c r="I16" s="39"/>
      <c r="J16" s="40" t="s">
        <v>147</v>
      </c>
      <c r="K16" s="41" t="str">
        <f>(K15/1000)*132&amp;"g"</f>
        <v>0g</v>
      </c>
    </row>
    <row r="17" spans="1:13" x14ac:dyDescent="0.35">
      <c r="A17" s="10" t="s">
        <v>143</v>
      </c>
      <c r="B17" s="10" t="s">
        <v>145</v>
      </c>
      <c r="C17" s="11">
        <v>3</v>
      </c>
      <c r="D17" s="12">
        <f>'HydKlip HMS 30.06'!H44</f>
        <v>1.8124999999999999E-2</v>
      </c>
    </row>
    <row r="18" spans="1:13" x14ac:dyDescent="0.35">
      <c r="A18" s="10" t="s">
        <v>143</v>
      </c>
      <c r="B18" s="10" t="s">
        <v>148</v>
      </c>
      <c r="C18" s="11">
        <v>1.5</v>
      </c>
      <c r="D18" s="12">
        <f>Laserskærer!J2</f>
        <v>0.1195</v>
      </c>
    </row>
    <row r="19" spans="1:13" x14ac:dyDescent="0.35">
      <c r="A19" s="10" t="s">
        <v>143</v>
      </c>
      <c r="B19" s="10" t="s">
        <v>148</v>
      </c>
      <c r="C19" s="11">
        <v>2</v>
      </c>
      <c r="D19" s="12">
        <f>Laserskærer!J7</f>
        <v>0.118425</v>
      </c>
    </row>
    <row r="20" spans="1:13" x14ac:dyDescent="0.35">
      <c r="A20" s="10" t="s">
        <v>143</v>
      </c>
      <c r="B20" s="10" t="s">
        <v>148</v>
      </c>
      <c r="C20" s="11">
        <v>3</v>
      </c>
      <c r="D20" s="12">
        <f>Laserskærer!J12</f>
        <v>0.14249999999999999</v>
      </c>
    </row>
    <row r="21" spans="1:13" x14ac:dyDescent="0.35">
      <c r="A21" s="10"/>
      <c r="B21" s="10"/>
      <c r="C21" s="11"/>
      <c r="D21" s="12"/>
    </row>
    <row r="22" spans="1:13" x14ac:dyDescent="0.35">
      <c r="A22" s="10"/>
      <c r="B22" s="10"/>
      <c r="C22" s="11"/>
      <c r="D22" s="12"/>
    </row>
    <row r="23" spans="1:13" x14ac:dyDescent="0.35">
      <c r="A23" s="10"/>
      <c r="B23" s="10"/>
      <c r="C23" s="11"/>
      <c r="D23" s="12"/>
    </row>
    <row r="24" spans="1:13" x14ac:dyDescent="0.35">
      <c r="A24" s="10"/>
      <c r="B24" s="10"/>
      <c r="C24" s="11"/>
      <c r="D24" s="12"/>
    </row>
    <row r="25" spans="1:13" x14ac:dyDescent="0.35">
      <c r="A25" s="10"/>
      <c r="B25" s="10"/>
      <c r="C25" s="11"/>
      <c r="D25" s="12"/>
    </row>
    <row r="26" spans="1:13" x14ac:dyDescent="0.35">
      <c r="A26" s="10"/>
      <c r="B26" s="10"/>
      <c r="C26" s="11"/>
      <c r="D26" s="12"/>
      <c r="G26" s="54" t="s">
        <v>149</v>
      </c>
      <c r="H26" s="54"/>
      <c r="I26" s="54"/>
      <c r="J26" s="54"/>
      <c r="K26" s="54"/>
      <c r="L26" s="54"/>
      <c r="M26" s="54"/>
    </row>
    <row r="27" spans="1:13" x14ac:dyDescent="0.35">
      <c r="A27" s="10"/>
      <c r="B27" s="10"/>
      <c r="C27" s="11"/>
      <c r="D27" s="12"/>
      <c r="G27" s="8" t="s">
        <v>150</v>
      </c>
      <c r="H27" t="s">
        <v>140</v>
      </c>
      <c r="I27" t="s">
        <v>143</v>
      </c>
      <c r="J27" s="25" t="s">
        <v>151</v>
      </c>
      <c r="K27" t="s">
        <v>54</v>
      </c>
      <c r="L27" t="s">
        <v>152</v>
      </c>
      <c r="M27" t="s">
        <v>153</v>
      </c>
    </row>
    <row r="28" spans="1:13" x14ac:dyDescent="0.35">
      <c r="A28" s="10"/>
      <c r="B28" s="10"/>
      <c r="C28" s="11"/>
      <c r="D28" s="12"/>
      <c r="G28" t="s">
        <v>140</v>
      </c>
      <c r="H28" t="s">
        <v>52</v>
      </c>
      <c r="I28" t="s">
        <v>144</v>
      </c>
      <c r="J28" s="26"/>
    </row>
    <row r="29" spans="1:13" x14ac:dyDescent="0.35">
      <c r="A29" s="10"/>
      <c r="B29" s="10"/>
      <c r="C29" s="11"/>
      <c r="D29" s="12"/>
      <c r="G29" t="s">
        <v>143</v>
      </c>
      <c r="H29" t="s">
        <v>141</v>
      </c>
      <c r="I29" t="s">
        <v>91</v>
      </c>
    </row>
    <row r="30" spans="1:13" x14ac:dyDescent="0.35">
      <c r="A30" s="10"/>
      <c r="B30" s="10"/>
      <c r="C30" s="11"/>
      <c r="D30" s="12"/>
      <c r="G30" s="25"/>
      <c r="H30" t="s">
        <v>142</v>
      </c>
      <c r="I30" s="10" t="s">
        <v>145</v>
      </c>
    </row>
    <row r="31" spans="1:13" x14ac:dyDescent="0.35">
      <c r="A31" s="10"/>
      <c r="B31" s="10"/>
      <c r="C31" s="11"/>
      <c r="D31" s="12"/>
      <c r="I31" t="s">
        <v>148</v>
      </c>
    </row>
    <row r="32" spans="1:13" x14ac:dyDescent="0.35">
      <c r="A32" s="10"/>
      <c r="B32" s="10"/>
      <c r="C32" s="11"/>
      <c r="D32" s="12"/>
    </row>
    <row r="33" spans="1:19" x14ac:dyDescent="0.35">
      <c r="A33" s="10"/>
      <c r="B33" s="10"/>
      <c r="C33" s="11"/>
      <c r="D33" s="12"/>
    </row>
    <row r="34" spans="1:19" x14ac:dyDescent="0.35">
      <c r="A34" s="10"/>
      <c r="B34" s="10"/>
      <c r="C34" s="11"/>
      <c r="D34" s="12"/>
    </row>
    <row r="35" spans="1:19" x14ac:dyDescent="0.35">
      <c r="A35" s="10"/>
      <c r="B35" s="10"/>
      <c r="C35" s="11"/>
      <c r="D35" s="12"/>
    </row>
    <row r="36" spans="1:19" x14ac:dyDescent="0.35">
      <c r="A36" s="10"/>
      <c r="B36" s="10"/>
      <c r="C36" s="11"/>
      <c r="D36" s="12"/>
    </row>
    <row r="37" spans="1:19" x14ac:dyDescent="0.35">
      <c r="A37" s="10"/>
      <c r="B37" s="10"/>
      <c r="C37" s="11"/>
      <c r="D37" s="12"/>
    </row>
    <row r="38" spans="1:19" x14ac:dyDescent="0.35">
      <c r="A38" s="10"/>
      <c r="B38" s="10"/>
      <c r="C38" s="11"/>
      <c r="D38" s="12"/>
    </row>
    <row r="39" spans="1:19" x14ac:dyDescent="0.35">
      <c r="A39" s="10"/>
      <c r="B39" s="10"/>
      <c r="C39" s="11"/>
      <c r="D39" s="12"/>
      <c r="G39" s="55" t="s">
        <v>154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</row>
    <row r="40" spans="1:19" x14ac:dyDescent="0.35">
      <c r="A40" s="10"/>
      <c r="B40" s="10"/>
      <c r="C40" s="11"/>
      <c r="D40" s="12"/>
      <c r="G40" s="8" t="s">
        <v>155</v>
      </c>
      <c r="H40" t="s">
        <v>52</v>
      </c>
      <c r="I40" t="s">
        <v>141</v>
      </c>
      <c r="J40" t="s">
        <v>142</v>
      </c>
      <c r="K40" t="s">
        <v>144</v>
      </c>
      <c r="L40" t="s">
        <v>91</v>
      </c>
      <c r="M40" s="25" t="s">
        <v>145</v>
      </c>
      <c r="N40" t="s">
        <v>148</v>
      </c>
      <c r="O40" t="s">
        <v>151</v>
      </c>
      <c r="P40" t="s">
        <v>54</v>
      </c>
      <c r="Q40" t="s">
        <v>152</v>
      </c>
      <c r="R40" t="s">
        <v>153</v>
      </c>
      <c r="S40" t="s">
        <v>156</v>
      </c>
    </row>
    <row r="41" spans="1:19" x14ac:dyDescent="0.35">
      <c r="A41" s="10"/>
      <c r="B41" s="10"/>
      <c r="C41" s="11"/>
      <c r="D41" s="12"/>
      <c r="G41" t="s">
        <v>52</v>
      </c>
      <c r="H41">
        <v>1.5</v>
      </c>
      <c r="I41">
        <v>3</v>
      </c>
      <c r="J41">
        <v>8</v>
      </c>
      <c r="K41">
        <v>1.5</v>
      </c>
      <c r="L41">
        <v>1.5</v>
      </c>
      <c r="M41" s="25">
        <v>1.5</v>
      </c>
      <c r="N41" s="25">
        <v>1.5</v>
      </c>
    </row>
    <row r="42" spans="1:19" x14ac:dyDescent="0.35">
      <c r="A42" s="10"/>
      <c r="B42" s="10"/>
      <c r="C42" s="11"/>
      <c r="D42" s="12"/>
      <c r="G42" t="s">
        <v>141</v>
      </c>
      <c r="H42">
        <v>3</v>
      </c>
      <c r="I42">
        <v>8</v>
      </c>
      <c r="K42">
        <v>2</v>
      </c>
      <c r="L42">
        <v>2</v>
      </c>
      <c r="M42" s="25">
        <v>2</v>
      </c>
      <c r="N42" s="25">
        <v>2</v>
      </c>
    </row>
    <row r="43" spans="1:19" x14ac:dyDescent="0.35">
      <c r="A43" s="10"/>
      <c r="B43" s="10"/>
      <c r="C43" s="11"/>
      <c r="D43" s="12"/>
      <c r="G43" t="s">
        <v>142</v>
      </c>
      <c r="K43">
        <v>3</v>
      </c>
      <c r="L43">
        <v>3</v>
      </c>
      <c r="M43" s="25">
        <v>3</v>
      </c>
      <c r="N43" s="25">
        <v>3</v>
      </c>
    </row>
    <row r="44" spans="1:19" x14ac:dyDescent="0.35">
      <c r="A44" s="10"/>
      <c r="B44" s="10"/>
      <c r="C44" s="11"/>
      <c r="D44" s="12"/>
      <c r="G44" t="s">
        <v>144</v>
      </c>
    </row>
    <row r="45" spans="1:19" x14ac:dyDescent="0.35">
      <c r="A45" s="10"/>
      <c r="B45" s="10"/>
      <c r="C45" s="11"/>
      <c r="D45" s="12"/>
      <c r="G45" t="s">
        <v>91</v>
      </c>
    </row>
    <row r="46" spans="1:19" x14ac:dyDescent="0.35">
      <c r="A46" s="10"/>
      <c r="B46" s="10"/>
      <c r="C46" s="11"/>
      <c r="D46" s="12"/>
      <c r="G46" s="25" t="s">
        <v>145</v>
      </c>
    </row>
    <row r="47" spans="1:19" x14ac:dyDescent="0.35">
      <c r="A47" s="10"/>
      <c r="B47" s="10"/>
      <c r="C47" s="11"/>
      <c r="D47" s="12"/>
      <c r="G47" s="25" t="s">
        <v>148</v>
      </c>
    </row>
    <row r="48" spans="1:19" x14ac:dyDescent="0.35">
      <c r="A48" s="10"/>
      <c r="B48" s="10"/>
      <c r="C48" s="11"/>
      <c r="D48" s="12"/>
    </row>
    <row r="49" spans="1:4" x14ac:dyDescent="0.35">
      <c r="A49" s="10"/>
      <c r="B49" s="10"/>
      <c r="C49" s="11"/>
      <c r="D49" s="12"/>
    </row>
    <row r="50" spans="1:4" x14ac:dyDescent="0.35">
      <c r="A50" s="10"/>
      <c r="B50" s="10"/>
      <c r="C50" s="11"/>
      <c r="D50" s="12"/>
    </row>
    <row r="51" spans="1:4" x14ac:dyDescent="0.35">
      <c r="A51" s="10"/>
      <c r="B51" s="10"/>
      <c r="C51" s="11"/>
      <c r="D51" s="12"/>
    </row>
    <row r="52" spans="1:4" x14ac:dyDescent="0.35">
      <c r="A52" s="10"/>
      <c r="B52" s="10"/>
      <c r="C52" s="11"/>
      <c r="D52" s="12"/>
    </row>
    <row r="53" spans="1:4" x14ac:dyDescent="0.35">
      <c r="A53" s="10"/>
      <c r="B53" s="10"/>
      <c r="C53" s="11"/>
      <c r="D53" s="12"/>
    </row>
  </sheetData>
  <mergeCells count="4">
    <mergeCell ref="A2:D2"/>
    <mergeCell ref="G2:K2"/>
    <mergeCell ref="G26:M26"/>
    <mergeCell ref="G39:S39"/>
  </mergeCells>
  <phoneticPr fontId="2" type="noConversion"/>
  <dataValidations count="3">
    <dataValidation type="list" allowBlank="1" showInputMessage="1" showErrorMessage="1" sqref="I4" xr:uid="{E4106554-A188-4260-8D3C-B04E62AB32A3}">
      <formula1>INDIRECT($H$4)</formula1>
    </dataValidation>
    <dataValidation type="list" allowBlank="1" showInputMessage="1" showErrorMessage="1" sqref="I5:I14 H4:H14" xr:uid="{45A0EA00-5642-4523-9DF3-4F6D3C82063F}">
      <formula1>INDIRECT(G4)</formula1>
    </dataValidation>
    <dataValidation type="list" allowBlank="1" showInputMessage="1" showErrorMessage="1" errorTitle="Fejl valg" promptTitle="Vælg proces" sqref="G4:G16" xr:uid="{CB6849E1-2121-4A24-851D-2B5FFCCDADB7}">
      <formula1>$G$28:$G$36</formula1>
    </dataValidation>
  </dataValidations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F275-6D50-498F-9CB6-CCD2D8488877}">
  <sheetPr codeName="Ark2"/>
  <dimension ref="A2:AF89"/>
  <sheetViews>
    <sheetView topLeftCell="A19" zoomScale="85" zoomScaleNormal="85" workbookViewId="0">
      <selection activeCell="C16" sqref="C16"/>
    </sheetView>
  </sheetViews>
  <sheetFormatPr defaultRowHeight="14.5" x14ac:dyDescent="0.35"/>
  <cols>
    <col min="1" max="1" width="29.453125" bestFit="1" customWidth="1"/>
    <col min="3" max="3" width="29.453125" bestFit="1" customWidth="1"/>
    <col min="4" max="4" width="9.453125" bestFit="1" customWidth="1"/>
    <col min="5" max="5" width="19.81640625" bestFit="1" customWidth="1"/>
    <col min="6" max="6" width="19.7265625" bestFit="1" customWidth="1"/>
    <col min="7" max="7" width="18.54296875" bestFit="1" customWidth="1"/>
    <col min="8" max="8" width="16.81640625" bestFit="1" customWidth="1"/>
    <col min="9" max="9" width="8" bestFit="1" customWidth="1"/>
    <col min="10" max="10" width="16" bestFit="1" customWidth="1"/>
    <col min="11" max="11" width="19.81640625" bestFit="1" customWidth="1"/>
    <col min="12" max="12" width="24.26953125" bestFit="1" customWidth="1"/>
    <col min="13" max="13" width="6.7265625" bestFit="1" customWidth="1"/>
    <col min="14" max="14" width="10.7265625" bestFit="1" customWidth="1"/>
    <col min="15" max="15" width="16.7265625" bestFit="1" customWidth="1"/>
    <col min="16" max="16" width="10.26953125" bestFit="1" customWidth="1"/>
    <col min="17" max="17" width="13.7265625" bestFit="1" customWidth="1"/>
    <col min="18" max="18" width="15" bestFit="1" customWidth="1"/>
    <col min="19" max="19" width="16" bestFit="1" customWidth="1"/>
    <col min="20" max="20" width="5.7265625" bestFit="1" customWidth="1"/>
    <col min="21" max="21" width="12" bestFit="1" customWidth="1"/>
    <col min="22" max="22" width="11.26953125" bestFit="1" customWidth="1"/>
    <col min="23" max="23" width="18.453125" bestFit="1" customWidth="1"/>
    <col min="24" max="24" width="16.81640625" customWidth="1"/>
    <col min="25" max="25" width="19.54296875" bestFit="1" customWidth="1"/>
    <col min="26" max="26" width="18.7265625" bestFit="1" customWidth="1"/>
    <col min="27" max="27" width="44.7265625" bestFit="1" customWidth="1"/>
    <col min="28" max="28" width="36.7265625" bestFit="1" customWidth="1"/>
    <col min="29" max="29" width="21.7265625" bestFit="1" customWidth="1"/>
    <col min="30" max="30" width="27.26953125" bestFit="1" customWidth="1"/>
    <col min="31" max="31" width="25.54296875" bestFit="1" customWidth="1"/>
    <col min="32" max="32" width="31.453125" bestFit="1" customWidth="1"/>
  </cols>
  <sheetData>
    <row r="2" spans="1:31" x14ac:dyDescent="0.35">
      <c r="Y2" t="s">
        <v>19</v>
      </c>
    </row>
    <row r="3" spans="1:31" x14ac:dyDescent="0.35">
      <c r="C3" t="s">
        <v>20</v>
      </c>
      <c r="D3" t="s">
        <v>21</v>
      </c>
      <c r="E3" t="s">
        <v>22</v>
      </c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Q3" t="s">
        <v>34</v>
      </c>
      <c r="R3" t="s">
        <v>35</v>
      </c>
      <c r="S3" t="s">
        <v>36</v>
      </c>
      <c r="T3" t="s">
        <v>37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 s="42" t="s">
        <v>44</v>
      </c>
      <c r="AB3" s="42"/>
      <c r="AC3" s="42"/>
      <c r="AD3" s="42"/>
    </row>
    <row r="4" spans="1:31" x14ac:dyDescent="0.35">
      <c r="A4" s="5"/>
      <c r="C4" t="s">
        <v>45</v>
      </c>
      <c r="D4" s="1">
        <v>1</v>
      </c>
      <c r="E4" s="1" t="s">
        <v>46</v>
      </c>
      <c r="F4" s="1" t="s">
        <v>47</v>
      </c>
      <c r="G4" s="1">
        <v>330</v>
      </c>
      <c r="H4" s="1" t="s">
        <v>48</v>
      </c>
      <c r="I4" s="1">
        <v>3</v>
      </c>
      <c r="J4" s="1">
        <v>20</v>
      </c>
      <c r="K4" s="1">
        <v>130</v>
      </c>
      <c r="L4" s="1">
        <v>8</v>
      </c>
      <c r="M4" s="1" t="s">
        <v>49</v>
      </c>
      <c r="N4" s="1" t="s">
        <v>50</v>
      </c>
      <c r="O4" s="1">
        <v>0.8</v>
      </c>
      <c r="P4" s="1" t="s">
        <v>51</v>
      </c>
      <c r="Q4" s="1">
        <v>12</v>
      </c>
      <c r="R4" s="1">
        <v>72</v>
      </c>
      <c r="S4" s="1">
        <f>Tabel313[[#This Row],[Forbrug (WH)]]/Tabel313[[#This Row],[Længde svejsning]]</f>
        <v>0.21818181818181817</v>
      </c>
      <c r="T4" s="1"/>
      <c r="U4" s="1"/>
      <c r="V4" s="1" t="e">
        <f>((SQRT((POWER((Tabel1[[#This Row],[A mål]]/2),2)+(POWER((Tabel1[[#This Row],[A mål]]/2),2)))))*(SQRT((POWER((Tabel1[[#This Row],[A mål]]/2),2)+(POWER((Tabel1[[#This Row],[A mål]]/2),2))))))/2</f>
        <v>#VALUE!</v>
      </c>
      <c r="W4" s="1" t="e">
        <f>Tabel1[[#This Row],[Areal snit]]*Tabel1[[#This Row],[Længde svejsning]]</f>
        <v>#VALUE!</v>
      </c>
      <c r="X4" s="1" t="e">
        <f>Tabel1[[#This Row],[Forbrug (WH)]]/Tabel1[[#This Row],[Vol svejsning mm]]</f>
        <v>#VALUE!</v>
      </c>
      <c r="AA4" t="s">
        <v>22</v>
      </c>
      <c r="AB4" t="s">
        <v>46</v>
      </c>
      <c r="AC4" t="s">
        <v>52</v>
      </c>
      <c r="AD4" t="s">
        <v>53</v>
      </c>
      <c r="AE4" t="s">
        <v>54</v>
      </c>
    </row>
    <row r="5" spans="1:31" x14ac:dyDescent="0.35">
      <c r="C5" t="s">
        <v>45</v>
      </c>
      <c r="D5" s="1">
        <v>2</v>
      </c>
      <c r="E5" s="1" t="s">
        <v>46</v>
      </c>
      <c r="F5" s="1" t="s">
        <v>47</v>
      </c>
      <c r="G5" s="1">
        <v>330</v>
      </c>
      <c r="H5" s="1" t="s">
        <v>48</v>
      </c>
      <c r="I5" s="1">
        <v>3</v>
      </c>
      <c r="J5" s="1">
        <v>20</v>
      </c>
      <c r="K5" s="1">
        <v>130</v>
      </c>
      <c r="L5" s="1">
        <v>8</v>
      </c>
      <c r="M5" s="1" t="s">
        <v>49</v>
      </c>
      <c r="N5" s="1" t="s">
        <v>50</v>
      </c>
      <c r="O5" s="1">
        <v>0.8</v>
      </c>
      <c r="P5" s="1" t="s">
        <v>51</v>
      </c>
      <c r="Q5" s="1">
        <v>12</v>
      </c>
      <c r="R5" s="1">
        <v>65.400000000000006</v>
      </c>
      <c r="S5" s="1">
        <f>Tabel313[[#This Row],[Forbrug (WH)]]/Tabel313[[#This Row],[Længde svejsning]]</f>
        <v>0.19818181818181821</v>
      </c>
      <c r="T5" s="1">
        <v>73</v>
      </c>
      <c r="U5" s="1">
        <f t="shared" ref="U5:U10" si="0">R5/T5</f>
        <v>0.8958904109589042</v>
      </c>
      <c r="V5" s="1">
        <f>((SQRT((POWER((Tabel1[[#This Row],[A mål]]/2),2)+(POWER((Tabel1[[#This Row],[A mål]]/2),2)))))*(SQRT((POWER((Tabel1[[#This Row],[A mål]]/2),2)+(POWER((Tabel1[[#This Row],[A mål]]/2),2))))))/2</f>
        <v>2.2499999999999996</v>
      </c>
      <c r="W5" s="1">
        <f>Tabel1[[#This Row],[Areal snit]]*Tabel1[[#This Row],[Længde svejsning]]</f>
        <v>742.49999999999989</v>
      </c>
      <c r="X5" s="1">
        <f>Tabel1[[#This Row],[Forbrug (WH)]]/Tabel1[[#This Row],[Vol svejsning mm]]</f>
        <v>9.6969696969696983E-2</v>
      </c>
      <c r="AA5" t="s">
        <v>46</v>
      </c>
      <c r="AB5" t="s">
        <v>45</v>
      </c>
      <c r="AC5" t="s">
        <v>55</v>
      </c>
      <c r="AD5" t="s">
        <v>55</v>
      </c>
    </row>
    <row r="6" spans="1:31" x14ac:dyDescent="0.35">
      <c r="C6" t="s">
        <v>45</v>
      </c>
      <c r="D6">
        <v>3</v>
      </c>
      <c r="E6" t="s">
        <v>46</v>
      </c>
      <c r="F6" t="s">
        <v>47</v>
      </c>
      <c r="G6">
        <v>330</v>
      </c>
      <c r="H6" t="s">
        <v>48</v>
      </c>
      <c r="I6">
        <v>3</v>
      </c>
      <c r="J6">
        <v>22.2</v>
      </c>
      <c r="K6">
        <v>130</v>
      </c>
      <c r="L6">
        <v>9.9</v>
      </c>
      <c r="M6" t="s">
        <v>49</v>
      </c>
      <c r="N6" t="s">
        <v>50</v>
      </c>
      <c r="O6">
        <v>0.8</v>
      </c>
      <c r="P6" t="s">
        <v>51</v>
      </c>
      <c r="Q6">
        <v>12</v>
      </c>
      <c r="R6">
        <v>64.400000000000006</v>
      </c>
      <c r="S6">
        <f>Tabel313[[#This Row],[Forbrug (WH)]]/Tabel313[[#This Row],[Længde svejsning]]</f>
        <v>0.19515151515151516</v>
      </c>
      <c r="T6">
        <v>61</v>
      </c>
      <c r="U6">
        <f t="shared" si="0"/>
        <v>1.055737704918033</v>
      </c>
      <c r="V6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6">
        <f>Tabel313[[#This Row],[Areal snit]]*Tabel313[[#This Row],[Længde svejsning]]</f>
        <v>742.49999999999989</v>
      </c>
      <c r="X6">
        <f>Tabel313[[#This Row],[Forbrug (WH)]]/Tabel313[[#This Row],[Vol svejsning mm]]</f>
        <v>8.6734006734006761E-2</v>
      </c>
      <c r="AA6" t="s">
        <v>52</v>
      </c>
      <c r="AB6" t="s">
        <v>56</v>
      </c>
      <c r="AC6" t="s">
        <v>57</v>
      </c>
      <c r="AD6" t="s">
        <v>57</v>
      </c>
    </row>
    <row r="7" spans="1:31" x14ac:dyDescent="0.35">
      <c r="C7" t="s">
        <v>45</v>
      </c>
      <c r="D7">
        <v>4</v>
      </c>
      <c r="E7" t="s">
        <v>46</v>
      </c>
      <c r="F7" t="s">
        <v>47</v>
      </c>
      <c r="G7">
        <v>330</v>
      </c>
      <c r="H7" t="s">
        <v>48</v>
      </c>
      <c r="I7">
        <v>3</v>
      </c>
      <c r="J7">
        <v>22.2</v>
      </c>
      <c r="K7">
        <v>130</v>
      </c>
      <c r="L7">
        <v>9.9</v>
      </c>
      <c r="M7" t="s">
        <v>49</v>
      </c>
      <c r="N7" t="s">
        <v>50</v>
      </c>
      <c r="O7">
        <v>0.8</v>
      </c>
      <c r="P7" t="s">
        <v>51</v>
      </c>
      <c r="Q7">
        <v>12</v>
      </c>
      <c r="R7">
        <v>57.35</v>
      </c>
      <c r="S7">
        <f>Tabel313[[#This Row],[Forbrug (WH)]]/Tabel313[[#This Row],[Længde svejsning]]</f>
        <v>0.1737878787878788</v>
      </c>
      <c r="T7">
        <v>55</v>
      </c>
      <c r="U7">
        <f t="shared" si="0"/>
        <v>1.0427272727272727</v>
      </c>
      <c r="V7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7">
        <f>Tabel313[[#This Row],[Areal snit]]*Tabel313[[#This Row],[Længde svejsning]]</f>
        <v>742.49999999999989</v>
      </c>
      <c r="X7">
        <f>Tabel313[[#This Row],[Forbrug (WH)]]/Tabel313[[#This Row],[Vol svejsning mm]]</f>
        <v>7.7239057239057246E-2</v>
      </c>
      <c r="AA7" t="s">
        <v>53</v>
      </c>
    </row>
    <row r="8" spans="1:31" x14ac:dyDescent="0.35">
      <c r="C8" t="s">
        <v>45</v>
      </c>
      <c r="D8">
        <v>5</v>
      </c>
      <c r="E8" t="s">
        <v>46</v>
      </c>
      <c r="F8" t="s">
        <v>47</v>
      </c>
      <c r="G8">
        <v>330</v>
      </c>
      <c r="H8" t="s">
        <v>48</v>
      </c>
      <c r="I8">
        <v>3</v>
      </c>
      <c r="J8">
        <v>22.2</v>
      </c>
      <c r="K8">
        <v>130</v>
      </c>
      <c r="L8">
        <v>9.9</v>
      </c>
      <c r="M8" t="s">
        <v>49</v>
      </c>
      <c r="N8" t="s">
        <v>50</v>
      </c>
      <c r="O8">
        <v>0.8</v>
      </c>
      <c r="P8" t="s">
        <v>51</v>
      </c>
      <c r="Q8">
        <v>12</v>
      </c>
      <c r="R8">
        <v>76</v>
      </c>
      <c r="S8">
        <f>Tabel313[[#This Row],[Forbrug (WH)]]/Tabel313[[#This Row],[Længde svejsning]]</f>
        <v>0.23030303030303031</v>
      </c>
      <c r="T8">
        <v>71</v>
      </c>
      <c r="U8">
        <f t="shared" si="0"/>
        <v>1.0704225352112675</v>
      </c>
      <c r="V8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8">
        <f>Tabel313[[#This Row],[Areal snit]]*Tabel313[[#This Row],[Længde svejsning]]</f>
        <v>742.49999999999989</v>
      </c>
      <c r="X8">
        <f>Tabel313[[#This Row],[Forbrug (WH)]]/Tabel313[[#This Row],[Vol svejsning mm]]</f>
        <v>0.10235690235690237</v>
      </c>
    </row>
    <row r="9" spans="1:31" x14ac:dyDescent="0.35">
      <c r="C9" t="s">
        <v>45</v>
      </c>
      <c r="D9">
        <v>6</v>
      </c>
      <c r="E9" t="s">
        <v>46</v>
      </c>
      <c r="F9" t="s">
        <v>47</v>
      </c>
      <c r="G9">
        <v>330</v>
      </c>
      <c r="H9" t="s">
        <v>48</v>
      </c>
      <c r="I9">
        <v>3</v>
      </c>
      <c r="J9">
        <v>22.2</v>
      </c>
      <c r="K9">
        <v>130</v>
      </c>
      <c r="L9">
        <v>9.9</v>
      </c>
      <c r="M9" t="s">
        <v>49</v>
      </c>
      <c r="N9" t="s">
        <v>50</v>
      </c>
      <c r="O9">
        <v>0.8</v>
      </c>
      <c r="P9" t="s">
        <v>51</v>
      </c>
      <c r="Q9">
        <v>12</v>
      </c>
      <c r="R9">
        <v>67</v>
      </c>
      <c r="S9">
        <f>Tabel313[[#This Row],[Forbrug (WH)]]/Tabel313[[#This Row],[Længde svejsning]]</f>
        <v>0.20303030303030303</v>
      </c>
      <c r="T9">
        <v>63</v>
      </c>
      <c r="U9">
        <f t="shared" si="0"/>
        <v>1.0634920634920635</v>
      </c>
      <c r="V9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9">
        <f>Tabel313[[#This Row],[Areal snit]]*Tabel313[[#This Row],[Længde svejsning]]</f>
        <v>742.49999999999989</v>
      </c>
      <c r="X9">
        <f>Tabel313[[#This Row],[Forbrug (WH)]]/Tabel313[[#This Row],[Vol svejsning mm]]</f>
        <v>9.0235690235690252E-2</v>
      </c>
    </row>
    <row r="10" spans="1:31" x14ac:dyDescent="0.35">
      <c r="C10" t="s">
        <v>45</v>
      </c>
      <c r="D10">
        <v>7</v>
      </c>
      <c r="E10" t="s">
        <v>46</v>
      </c>
      <c r="F10" t="s">
        <v>47</v>
      </c>
      <c r="G10">
        <v>330</v>
      </c>
      <c r="H10" t="s">
        <v>48</v>
      </c>
      <c r="I10">
        <v>3</v>
      </c>
      <c r="J10">
        <v>22.2</v>
      </c>
      <c r="K10">
        <v>130</v>
      </c>
      <c r="L10">
        <v>9.9</v>
      </c>
      <c r="M10" t="s">
        <v>49</v>
      </c>
      <c r="N10" t="s">
        <v>50</v>
      </c>
      <c r="O10">
        <v>0.8</v>
      </c>
      <c r="P10" t="s">
        <v>51</v>
      </c>
      <c r="Q10">
        <v>12</v>
      </c>
      <c r="R10">
        <v>65.3</v>
      </c>
      <c r="S10">
        <f>Tabel313[[#This Row],[Forbrug (WH)]]/Tabel313[[#This Row],[Længde svejsning]]</f>
        <v>0.19787878787878788</v>
      </c>
      <c r="T10">
        <v>61</v>
      </c>
      <c r="U10">
        <f t="shared" si="0"/>
        <v>1.0704918032786885</v>
      </c>
      <c r="V10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10">
        <f>Tabel313[[#This Row],[Areal snit]]*Tabel313[[#This Row],[Længde svejsning]]</f>
        <v>742.49999999999989</v>
      </c>
      <c r="X10">
        <f>Tabel313[[#This Row],[Forbrug (WH)]]/Tabel313[[#This Row],[Vol svejsning mm]]</f>
        <v>8.7946127946127953E-2</v>
      </c>
    </row>
    <row r="11" spans="1:31" x14ac:dyDescent="0.35">
      <c r="C11" t="s">
        <v>45</v>
      </c>
      <c r="D11" s="6" t="s">
        <v>58</v>
      </c>
      <c r="E11" s="2" t="s">
        <v>46</v>
      </c>
      <c r="F11" s="2" t="s">
        <v>47</v>
      </c>
      <c r="G11" s="2">
        <v>330</v>
      </c>
      <c r="H11" s="2" t="s">
        <v>48</v>
      </c>
      <c r="I11" s="2">
        <v>3</v>
      </c>
      <c r="J11" s="2">
        <v>22.2</v>
      </c>
      <c r="K11" s="2">
        <v>130</v>
      </c>
      <c r="L11" s="2">
        <v>9.9</v>
      </c>
      <c r="M11" s="2" t="s">
        <v>49</v>
      </c>
      <c r="N11" s="2" t="s">
        <v>50</v>
      </c>
      <c r="O11" s="2">
        <v>0.8</v>
      </c>
      <c r="P11" s="2" t="s">
        <v>51</v>
      </c>
      <c r="Q11" s="2">
        <v>12</v>
      </c>
      <c r="R11" s="2">
        <f>(R6+R7+R8+R9+R10)/5</f>
        <v>66.010000000000005</v>
      </c>
      <c r="S11" s="2">
        <f>Tabel313[[#This Row],[Forbrug (WH)]]/Tabel313[[#This Row],[Længde svejsning]]</f>
        <v>0.20003030303030306</v>
      </c>
      <c r="T11" s="2">
        <f>(T6+T7+T8+T9+T10)/5</f>
        <v>62.2</v>
      </c>
      <c r="U11" s="2">
        <f>(U6+U7+U8+U9+U10)/5</f>
        <v>1.060574275925465</v>
      </c>
      <c r="V11" s="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11" s="2">
        <f>Tabel313[[#This Row],[Areal snit]]*Tabel313[[#This Row],[Længde svejsning]]</f>
        <v>742.49999999999989</v>
      </c>
      <c r="X11" s="2">
        <f>Tabel313[[#This Row],[Forbrug (WH)]]/Tabel313[[#This Row],[Vol svejsning mm]]</f>
        <v>8.8902356902356927E-2</v>
      </c>
    </row>
    <row r="12" spans="1:31" x14ac:dyDescent="0.35">
      <c r="C12" t="s">
        <v>45</v>
      </c>
      <c r="D12">
        <v>8</v>
      </c>
      <c r="E12" t="s">
        <v>46</v>
      </c>
      <c r="F12" t="s">
        <v>59</v>
      </c>
      <c r="G12">
        <v>330</v>
      </c>
      <c r="H12" t="s">
        <v>48</v>
      </c>
      <c r="I12">
        <v>5</v>
      </c>
      <c r="J12">
        <v>26.4</v>
      </c>
      <c r="K12">
        <v>175</v>
      </c>
      <c r="L12">
        <v>13.2</v>
      </c>
      <c r="M12" t="s">
        <v>49</v>
      </c>
      <c r="N12" t="s">
        <v>50</v>
      </c>
      <c r="O12">
        <v>0.8</v>
      </c>
      <c r="P12" t="s">
        <v>51</v>
      </c>
      <c r="Q12">
        <v>12</v>
      </c>
      <c r="R12">
        <v>113.6</v>
      </c>
      <c r="S12">
        <f>Tabel313[[#This Row],[Forbrug (WH)]]/Tabel313[[#This Row],[Længde svejsning]]</f>
        <v>0.34424242424242424</v>
      </c>
      <c r="T12">
        <v>76</v>
      </c>
      <c r="U12">
        <f t="shared" ref="U12:U16" si="1">R12/T12</f>
        <v>1.4947368421052631</v>
      </c>
      <c r="V12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12">
        <f>Tabel313[[#This Row],[Areal snit]]*Tabel313[[#This Row],[Længde svejsning]]</f>
        <v>2062.5000000000005</v>
      </c>
      <c r="X12">
        <f>Tabel313[[#This Row],[Forbrug (WH)]]/Tabel313[[#This Row],[Vol svejsning mm]]</f>
        <v>5.5078787878787866E-2</v>
      </c>
    </row>
    <row r="13" spans="1:31" x14ac:dyDescent="0.35">
      <c r="C13" t="s">
        <v>45</v>
      </c>
      <c r="D13">
        <v>9</v>
      </c>
      <c r="E13" t="s">
        <v>46</v>
      </c>
      <c r="F13" t="s">
        <v>59</v>
      </c>
      <c r="G13">
        <v>330</v>
      </c>
      <c r="H13" t="s">
        <v>48</v>
      </c>
      <c r="I13">
        <v>5</v>
      </c>
      <c r="J13">
        <v>26.4</v>
      </c>
      <c r="K13">
        <v>175</v>
      </c>
      <c r="L13">
        <v>13.2</v>
      </c>
      <c r="M13" t="s">
        <v>49</v>
      </c>
      <c r="N13" t="s">
        <v>50</v>
      </c>
      <c r="O13">
        <v>0.8</v>
      </c>
      <c r="P13" t="s">
        <v>51</v>
      </c>
      <c r="Q13">
        <v>12</v>
      </c>
      <c r="R13">
        <v>122</v>
      </c>
      <c r="S13">
        <f>Tabel313[[#This Row],[Forbrug (WH)]]/Tabel313[[#This Row],[Længde svejsning]]</f>
        <v>0.36969696969696969</v>
      </c>
      <c r="T13">
        <v>81</v>
      </c>
      <c r="U13">
        <f t="shared" si="1"/>
        <v>1.5061728395061729</v>
      </c>
      <c r="V13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13">
        <f>Tabel313[[#This Row],[Areal snit]]*Tabel313[[#This Row],[Længde svejsning]]</f>
        <v>2062.5000000000005</v>
      </c>
      <c r="X13">
        <f>Tabel313[[#This Row],[Forbrug (WH)]]/Tabel313[[#This Row],[Vol svejsning mm]]</f>
        <v>5.9151515151515136E-2</v>
      </c>
    </row>
    <row r="14" spans="1:31" x14ac:dyDescent="0.35">
      <c r="C14" t="s">
        <v>45</v>
      </c>
      <c r="D14">
        <v>10</v>
      </c>
      <c r="E14" t="s">
        <v>46</v>
      </c>
      <c r="F14" t="s">
        <v>59</v>
      </c>
      <c r="G14">
        <v>330</v>
      </c>
      <c r="H14" t="s">
        <v>48</v>
      </c>
      <c r="I14">
        <v>5</v>
      </c>
      <c r="J14">
        <v>26.4</v>
      </c>
      <c r="K14">
        <v>175</v>
      </c>
      <c r="L14">
        <v>13.2</v>
      </c>
      <c r="M14" t="s">
        <v>49</v>
      </c>
      <c r="N14" t="s">
        <v>50</v>
      </c>
      <c r="O14">
        <v>0.8</v>
      </c>
      <c r="P14" t="s">
        <v>51</v>
      </c>
      <c r="Q14">
        <v>12</v>
      </c>
      <c r="R14">
        <v>124</v>
      </c>
      <c r="S14">
        <f>Tabel313[[#This Row],[Forbrug (WH)]]/Tabel313[[#This Row],[Længde svejsning]]</f>
        <v>0.37575757575757573</v>
      </c>
      <c r="T14">
        <v>83</v>
      </c>
      <c r="U14">
        <f t="shared" si="1"/>
        <v>1.4939759036144578</v>
      </c>
      <c r="V14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14">
        <f>Tabel313[[#This Row],[Areal snit]]*Tabel313[[#This Row],[Længde svejsning]]</f>
        <v>2062.5000000000005</v>
      </c>
      <c r="X14">
        <f>Tabel313[[#This Row],[Forbrug (WH)]]/Tabel313[[#This Row],[Vol svejsning mm]]</f>
        <v>6.012121212121211E-2</v>
      </c>
    </row>
    <row r="15" spans="1:31" x14ac:dyDescent="0.35">
      <c r="C15" t="s">
        <v>45</v>
      </c>
      <c r="D15">
        <v>11</v>
      </c>
      <c r="E15" t="s">
        <v>46</v>
      </c>
      <c r="F15" t="s">
        <v>59</v>
      </c>
      <c r="G15">
        <v>330</v>
      </c>
      <c r="H15" t="s">
        <v>48</v>
      </c>
      <c r="I15">
        <v>5</v>
      </c>
      <c r="J15">
        <v>26.4</v>
      </c>
      <c r="K15">
        <v>175</v>
      </c>
      <c r="L15">
        <v>13.2</v>
      </c>
      <c r="M15" t="s">
        <v>49</v>
      </c>
      <c r="N15" t="s">
        <v>50</v>
      </c>
      <c r="O15">
        <v>0.8</v>
      </c>
      <c r="P15" t="s">
        <v>51</v>
      </c>
      <c r="Q15">
        <v>12</v>
      </c>
      <c r="R15">
        <v>110</v>
      </c>
      <c r="S15">
        <f>Tabel313[[#This Row],[Forbrug (WH)]]/Tabel313[[#This Row],[Længde svejsning]]</f>
        <v>0.33333333333333331</v>
      </c>
      <c r="T15">
        <v>74</v>
      </c>
      <c r="U15">
        <f t="shared" si="1"/>
        <v>1.4864864864864864</v>
      </c>
      <c r="V15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15">
        <f>Tabel313[[#This Row],[Areal snit]]*Tabel313[[#This Row],[Længde svejsning]]</f>
        <v>2062.5000000000005</v>
      </c>
      <c r="X15">
        <f>Tabel313[[#This Row],[Forbrug (WH)]]/Tabel313[[#This Row],[Vol svejsning mm]]</f>
        <v>5.3333333333333323E-2</v>
      </c>
    </row>
    <row r="16" spans="1:31" x14ac:dyDescent="0.35">
      <c r="C16" t="s">
        <v>45</v>
      </c>
      <c r="D16">
        <v>12</v>
      </c>
      <c r="E16" t="s">
        <v>46</v>
      </c>
      <c r="F16" t="s">
        <v>59</v>
      </c>
      <c r="G16">
        <v>330</v>
      </c>
      <c r="H16" t="s">
        <v>48</v>
      </c>
      <c r="I16">
        <v>5</v>
      </c>
      <c r="J16">
        <v>26.4</v>
      </c>
      <c r="K16">
        <v>175</v>
      </c>
      <c r="L16">
        <v>13.2</v>
      </c>
      <c r="M16" t="s">
        <v>49</v>
      </c>
      <c r="N16" t="s">
        <v>50</v>
      </c>
      <c r="O16">
        <v>0.8</v>
      </c>
      <c r="P16" t="s">
        <v>51</v>
      </c>
      <c r="Q16">
        <v>12</v>
      </c>
      <c r="R16">
        <v>115</v>
      </c>
      <c r="S16">
        <f>Tabel313[[#This Row],[Forbrug (WH)]]/Tabel313[[#This Row],[Længde svejsning]]</f>
        <v>0.34848484848484851</v>
      </c>
      <c r="T16">
        <v>77</v>
      </c>
      <c r="U16">
        <f t="shared" si="1"/>
        <v>1.4935064935064934</v>
      </c>
      <c r="V16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16">
        <f>Tabel313[[#This Row],[Areal snit]]*Tabel313[[#This Row],[Længde svejsning]]</f>
        <v>2062.5000000000005</v>
      </c>
      <c r="X16">
        <f>Tabel313[[#This Row],[Forbrug (WH)]]/Tabel313[[#This Row],[Vol svejsning mm]]</f>
        <v>5.5757575757575742E-2</v>
      </c>
    </row>
    <row r="17" spans="3:32" x14ac:dyDescent="0.35">
      <c r="C17" t="s">
        <v>45</v>
      </c>
      <c r="D17" s="6" t="s">
        <v>58</v>
      </c>
      <c r="E17" s="2" t="s">
        <v>46</v>
      </c>
      <c r="F17" s="2" t="s">
        <v>59</v>
      </c>
      <c r="G17" s="2">
        <v>330</v>
      </c>
      <c r="H17" s="2" t="s">
        <v>48</v>
      </c>
      <c r="I17" s="2">
        <v>5</v>
      </c>
      <c r="J17" s="2">
        <v>26.4</v>
      </c>
      <c r="K17" s="2">
        <v>175</v>
      </c>
      <c r="L17" s="2">
        <v>13.2</v>
      </c>
      <c r="M17" s="2" t="s">
        <v>49</v>
      </c>
      <c r="N17" s="2" t="s">
        <v>50</v>
      </c>
      <c r="O17" s="2">
        <v>0.8</v>
      </c>
      <c r="P17" s="2" t="s">
        <v>51</v>
      </c>
      <c r="Q17" s="2">
        <v>12</v>
      </c>
      <c r="R17" s="2">
        <f>(R12+R13+R14+R15+R16)/5</f>
        <v>116.92</v>
      </c>
      <c r="S17" s="2">
        <f>Tabel313[[#This Row],[Forbrug (WH)]]/Tabel313[[#This Row],[Længde svejsning]]</f>
        <v>0.35430303030303029</v>
      </c>
      <c r="T17" s="2">
        <f>(T12+T13+T14+T15+T16)/5</f>
        <v>78.2</v>
      </c>
      <c r="U17" s="2">
        <f>(U12+U13+U14+U15+U16)/5</f>
        <v>1.4949757130437749</v>
      </c>
      <c r="V17" s="2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17" s="2">
        <f>Tabel313[[#This Row],[Areal snit]]*Tabel313[[#This Row],[Længde svejsning]]</f>
        <v>2062.5000000000005</v>
      </c>
      <c r="X17" s="2">
        <f>Tabel313[[#This Row],[Forbrug (WH)]]/Tabel313[[#This Row],[Vol svejsning mm]]</f>
        <v>5.6688484848484835E-2</v>
      </c>
    </row>
    <row r="18" spans="3:32" x14ac:dyDescent="0.35">
      <c r="C18" t="s">
        <v>56</v>
      </c>
      <c r="D18" s="1">
        <v>1</v>
      </c>
      <c r="E18" s="1" t="s">
        <v>46</v>
      </c>
      <c r="F18" s="1" t="s">
        <v>47</v>
      </c>
      <c r="G18" s="1">
        <v>330</v>
      </c>
      <c r="H18" s="1" t="s">
        <v>48</v>
      </c>
      <c r="I18" s="1">
        <v>4.2</v>
      </c>
      <c r="J18" s="1">
        <v>20</v>
      </c>
      <c r="K18" s="1">
        <v>205</v>
      </c>
      <c r="L18" s="1">
        <v>8</v>
      </c>
      <c r="M18" s="1" t="s">
        <v>49</v>
      </c>
      <c r="N18" s="1" t="s">
        <v>50</v>
      </c>
      <c r="O18" s="1">
        <v>0.8</v>
      </c>
      <c r="P18" s="1" t="s">
        <v>51</v>
      </c>
      <c r="Q18" s="1">
        <v>22</v>
      </c>
      <c r="R18" s="1">
        <v>79</v>
      </c>
      <c r="S18" s="1">
        <f>Tabel313[[#This Row],[Forbrug (WH)]]/Tabel313[[#This Row],[Længde svejsning]]</f>
        <v>0.23939393939393938</v>
      </c>
      <c r="T18" s="1">
        <v>61</v>
      </c>
      <c r="U18" s="1">
        <f>R18/T18</f>
        <v>1.2950819672131149</v>
      </c>
      <c r="V18" s="1">
        <f>((SQRT((POWER((Tabel313[[#This Row],[A mål]]/2),2)+(POWER((Tabel313[[#This Row],[A mål]]/2),2)))))*(SQRT((POWER((Tabel313[[#This Row],[A mål]]/2),2)+(POWER((Tabel313[[#This Row],[A mål]]/2),2))))))/2</f>
        <v>4.41</v>
      </c>
      <c r="W18" s="1">
        <f>Tabel313[[#This Row],[Areal snit]]*Tabel313[[#This Row],[Længde svejsning]]</f>
        <v>1455.3</v>
      </c>
      <c r="X18" s="1">
        <f>Tabel313[[#This Row],[Forbrug (WH)]]/Tabel313[[#This Row],[Vol svejsning mm]]</f>
        <v>5.4284339998625718E-2</v>
      </c>
    </row>
    <row r="19" spans="3:32" x14ac:dyDescent="0.35">
      <c r="C19" t="s">
        <v>56</v>
      </c>
      <c r="D19">
        <v>2</v>
      </c>
      <c r="E19" t="s">
        <v>46</v>
      </c>
      <c r="F19" t="s">
        <v>47</v>
      </c>
      <c r="G19">
        <v>330</v>
      </c>
      <c r="H19" t="s">
        <v>48</v>
      </c>
      <c r="I19">
        <v>3</v>
      </c>
      <c r="J19">
        <v>20</v>
      </c>
      <c r="K19">
        <v>205</v>
      </c>
      <c r="L19">
        <v>8</v>
      </c>
      <c r="M19" t="s">
        <v>49</v>
      </c>
      <c r="N19" t="s">
        <v>50</v>
      </c>
      <c r="O19">
        <v>0.8</v>
      </c>
      <c r="P19" t="s">
        <v>51</v>
      </c>
      <c r="Q19">
        <v>12</v>
      </c>
      <c r="R19">
        <v>56</v>
      </c>
      <c r="S19">
        <f>Tabel313[[#This Row],[Forbrug (WH)]]/Tabel313[[#This Row],[Længde svejsning]]</f>
        <v>0.16969696969696971</v>
      </c>
      <c r="T19">
        <v>43</v>
      </c>
      <c r="U19">
        <f>R19/T19</f>
        <v>1.3023255813953489</v>
      </c>
      <c r="V19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19">
        <f>Tabel313[[#This Row],[Areal snit]]*Tabel313[[#This Row],[Længde svejsning]]</f>
        <v>742.49999999999989</v>
      </c>
      <c r="X19">
        <f>Tabel313[[#This Row],[Forbrug (WH)]]/Tabel313[[#This Row],[Vol svejsning mm]]</f>
        <v>7.542087542087543E-2</v>
      </c>
    </row>
    <row r="20" spans="3:32" x14ac:dyDescent="0.35">
      <c r="C20" t="s">
        <v>56</v>
      </c>
      <c r="D20">
        <v>3</v>
      </c>
      <c r="E20" t="s">
        <v>46</v>
      </c>
      <c r="F20" t="s">
        <v>47</v>
      </c>
      <c r="G20">
        <v>330</v>
      </c>
      <c r="H20" t="s">
        <v>48</v>
      </c>
      <c r="I20">
        <v>3</v>
      </c>
      <c r="J20">
        <v>20</v>
      </c>
      <c r="K20">
        <v>205</v>
      </c>
      <c r="L20">
        <v>8</v>
      </c>
      <c r="M20" t="s">
        <v>49</v>
      </c>
      <c r="N20" t="s">
        <v>50</v>
      </c>
      <c r="O20">
        <v>0.8</v>
      </c>
      <c r="P20" t="s">
        <v>51</v>
      </c>
      <c r="Q20">
        <v>12</v>
      </c>
      <c r="R20">
        <v>73</v>
      </c>
      <c r="S20">
        <f>Tabel313[[#This Row],[Forbrug (WH)]]/Tabel313[[#This Row],[Længde svejsning]]</f>
        <v>0.22121212121212122</v>
      </c>
      <c r="T20">
        <v>56</v>
      </c>
      <c r="U20">
        <f>R20/T20</f>
        <v>1.3035714285714286</v>
      </c>
      <c r="V20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20">
        <f>Tabel313[[#This Row],[Areal snit]]*Tabel313[[#This Row],[Længde svejsning]]</f>
        <v>742.49999999999989</v>
      </c>
      <c r="X20">
        <f>Tabel313[[#This Row],[Forbrug (WH)]]/Tabel313[[#This Row],[Vol svejsning mm]]</f>
        <v>9.831649831649833E-2</v>
      </c>
    </row>
    <row r="21" spans="3:32" x14ac:dyDescent="0.35">
      <c r="C21" t="s">
        <v>56</v>
      </c>
      <c r="D21">
        <v>4</v>
      </c>
      <c r="E21" t="s">
        <v>46</v>
      </c>
      <c r="F21" t="s">
        <v>47</v>
      </c>
      <c r="G21">
        <v>330</v>
      </c>
      <c r="H21" t="s">
        <v>48</v>
      </c>
      <c r="I21">
        <v>3</v>
      </c>
      <c r="J21">
        <v>20</v>
      </c>
      <c r="K21">
        <v>205</v>
      </c>
      <c r="L21">
        <v>8</v>
      </c>
      <c r="M21" t="s">
        <v>49</v>
      </c>
      <c r="N21" t="s">
        <v>50</v>
      </c>
      <c r="O21">
        <v>0.8</v>
      </c>
      <c r="P21" t="s">
        <v>51</v>
      </c>
      <c r="Q21">
        <v>12</v>
      </c>
      <c r="R21">
        <v>78</v>
      </c>
      <c r="S21">
        <f>Tabel313[[#This Row],[Forbrug (WH)]]/Tabel313[[#This Row],[Længde svejsning]]</f>
        <v>0.23636363636363636</v>
      </c>
      <c r="T21">
        <v>60</v>
      </c>
      <c r="U21">
        <f>R21/T21</f>
        <v>1.3</v>
      </c>
      <c r="V21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21">
        <f>Tabel313[[#This Row],[Areal snit]]*Tabel313[[#This Row],[Længde svejsning]]</f>
        <v>742.49999999999989</v>
      </c>
      <c r="X21">
        <f>Tabel313[[#This Row],[Forbrug (WH)]]/Tabel313[[#This Row],[Vol svejsning mm]]</f>
        <v>0.10505050505050506</v>
      </c>
    </row>
    <row r="22" spans="3:32" x14ac:dyDescent="0.35">
      <c r="C22" t="s">
        <v>56</v>
      </c>
      <c r="D22">
        <v>5</v>
      </c>
      <c r="E22" t="s">
        <v>46</v>
      </c>
      <c r="F22" t="s">
        <v>47</v>
      </c>
      <c r="G22">
        <v>330</v>
      </c>
      <c r="H22" t="s">
        <v>48</v>
      </c>
      <c r="I22">
        <v>3</v>
      </c>
      <c r="J22">
        <v>20</v>
      </c>
      <c r="K22">
        <v>205</v>
      </c>
      <c r="L22">
        <v>8</v>
      </c>
      <c r="M22" t="s">
        <v>49</v>
      </c>
      <c r="N22" t="s">
        <v>50</v>
      </c>
      <c r="O22">
        <v>0.8</v>
      </c>
      <c r="P22" t="s">
        <v>51</v>
      </c>
      <c r="Q22">
        <v>12</v>
      </c>
      <c r="R22">
        <v>67</v>
      </c>
      <c r="S22">
        <f>Tabel313[[#This Row],[Forbrug (WH)]]/Tabel313[[#This Row],[Længde svejsning]]</f>
        <v>0.20303030303030303</v>
      </c>
      <c r="T22">
        <v>53</v>
      </c>
      <c r="U22">
        <f>R22/T22</f>
        <v>1.2641509433962264</v>
      </c>
      <c r="V2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22">
        <f>Tabel313[[#This Row],[Areal snit]]*Tabel313[[#This Row],[Længde svejsning]]</f>
        <v>742.49999999999989</v>
      </c>
      <c r="X22">
        <f>Tabel313[[#This Row],[Forbrug (WH)]]/Tabel313[[#This Row],[Vol svejsning mm]]</f>
        <v>9.0235690235690252E-2</v>
      </c>
    </row>
    <row r="23" spans="3:32" x14ac:dyDescent="0.35">
      <c r="C23" t="s">
        <v>56</v>
      </c>
      <c r="D23" s="6" t="s">
        <v>58</v>
      </c>
      <c r="E23" s="2" t="s">
        <v>46</v>
      </c>
      <c r="F23" s="2" t="s">
        <v>47</v>
      </c>
      <c r="G23" s="2">
        <v>330</v>
      </c>
      <c r="H23" s="2" t="s">
        <v>48</v>
      </c>
      <c r="I23" s="2">
        <v>3</v>
      </c>
      <c r="J23" s="2">
        <v>20</v>
      </c>
      <c r="K23" s="2">
        <v>205</v>
      </c>
      <c r="L23" s="2">
        <v>8</v>
      </c>
      <c r="M23" s="2" t="s">
        <v>49</v>
      </c>
      <c r="N23" s="2" t="s">
        <v>50</v>
      </c>
      <c r="O23" s="2">
        <v>0.8</v>
      </c>
      <c r="P23" s="2" t="s">
        <v>51</v>
      </c>
      <c r="Q23" s="2">
        <v>12</v>
      </c>
      <c r="R23" s="2">
        <f>(R19+R20+R21+R22)/4</f>
        <v>68.5</v>
      </c>
      <c r="S23" s="2">
        <f>Tabel313[[#This Row],[Forbrug (WH)]]/Tabel313[[#This Row],[Længde svejsning]]</f>
        <v>0.20757575757575758</v>
      </c>
      <c r="T23" s="2">
        <f>(T19+T20+T21+T22)/4</f>
        <v>53</v>
      </c>
      <c r="U23" s="2">
        <f>(U19+U20+U21+U22)/4</f>
        <v>1.2925119883407508</v>
      </c>
      <c r="V23" s="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23" s="2">
        <f>Tabel313[[#This Row],[Areal snit]]*Tabel313[[#This Row],[Længde svejsning]]</f>
        <v>742.49999999999989</v>
      </c>
      <c r="X23" s="2">
        <f>Tabel313[[#This Row],[Forbrug (WH)]]/Tabel313[[#This Row],[Vol svejsning mm]]</f>
        <v>9.2255892255892272E-2</v>
      </c>
    </row>
    <row r="24" spans="3:32" x14ac:dyDescent="0.35">
      <c r="C24" t="s">
        <v>56</v>
      </c>
      <c r="D24">
        <v>6</v>
      </c>
      <c r="E24" s="1" t="s">
        <v>46</v>
      </c>
      <c r="F24" s="1" t="s">
        <v>59</v>
      </c>
      <c r="G24" s="1">
        <v>330</v>
      </c>
      <c r="H24" s="1" t="s">
        <v>48</v>
      </c>
      <c r="I24" s="1">
        <v>5</v>
      </c>
      <c r="J24" s="1">
        <v>24.5</v>
      </c>
      <c r="K24" s="1">
        <v>200</v>
      </c>
      <c r="L24" s="1">
        <v>9.5</v>
      </c>
      <c r="M24" s="1" t="s">
        <v>49</v>
      </c>
      <c r="N24" s="1" t="s">
        <v>50</v>
      </c>
      <c r="O24" s="1">
        <v>0.8</v>
      </c>
      <c r="P24" s="1" t="s">
        <v>51</v>
      </c>
      <c r="Q24" s="1">
        <v>12</v>
      </c>
      <c r="R24" s="1">
        <v>132</v>
      </c>
      <c r="S24" s="1">
        <f>Tabel313[[#This Row],[Forbrug (WH)]]/Tabel313[[#This Row],[Længde svejsning]]</f>
        <v>0.4</v>
      </c>
      <c r="T24" s="1">
        <v>72</v>
      </c>
      <c r="U24" s="1">
        <f>R24/T24</f>
        <v>1.8333333333333333</v>
      </c>
      <c r="V24" s="1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24" s="1">
        <f>Tabel313[[#This Row],[Areal snit]]*Tabel313[[#This Row],[Længde svejsning]]</f>
        <v>2062.5000000000005</v>
      </c>
      <c r="X24" s="1">
        <f>Tabel313[[#This Row],[Forbrug (WH)]]/Tabel313[[#This Row],[Vol svejsning mm]]</f>
        <v>6.3999999999999987E-2</v>
      </c>
    </row>
    <row r="25" spans="3:32" x14ac:dyDescent="0.35">
      <c r="C25" t="s">
        <v>56</v>
      </c>
      <c r="D25">
        <v>7</v>
      </c>
      <c r="E25" t="s">
        <v>46</v>
      </c>
      <c r="F25" t="s">
        <v>59</v>
      </c>
      <c r="G25">
        <v>330</v>
      </c>
      <c r="H25" t="s">
        <v>48</v>
      </c>
      <c r="I25">
        <v>5</v>
      </c>
      <c r="J25">
        <v>20.3</v>
      </c>
      <c r="K25">
        <v>185</v>
      </c>
      <c r="L25">
        <v>7.2</v>
      </c>
      <c r="M25" t="s">
        <v>49</v>
      </c>
      <c r="N25" t="s">
        <v>50</v>
      </c>
      <c r="O25">
        <v>0.8</v>
      </c>
      <c r="P25" t="s">
        <v>51</v>
      </c>
      <c r="Q25">
        <v>12</v>
      </c>
      <c r="R25">
        <v>128</v>
      </c>
      <c r="S25">
        <f>Tabel313[[#This Row],[Forbrug (WH)]]/Tabel313[[#This Row],[Længde svejsning]]</f>
        <v>0.38787878787878788</v>
      </c>
      <c r="T25">
        <v>100</v>
      </c>
      <c r="U25">
        <f>R25/T25</f>
        <v>1.28</v>
      </c>
      <c r="V25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25">
        <f>Tabel313[[#This Row],[Areal snit]]*Tabel313[[#This Row],[Længde svejsning]]</f>
        <v>2062.5000000000005</v>
      </c>
      <c r="X25">
        <f>Tabel313[[#This Row],[Forbrug (WH)]]/Tabel313[[#This Row],[Vol svejsning mm]]</f>
        <v>6.2060606060606045E-2</v>
      </c>
    </row>
    <row r="26" spans="3:32" x14ac:dyDescent="0.35">
      <c r="C26" t="s">
        <v>56</v>
      </c>
      <c r="D26">
        <v>8</v>
      </c>
      <c r="E26" t="s">
        <v>46</v>
      </c>
      <c r="F26" t="s">
        <v>59</v>
      </c>
      <c r="G26">
        <v>330</v>
      </c>
      <c r="H26" t="s">
        <v>48</v>
      </c>
      <c r="I26">
        <v>5</v>
      </c>
      <c r="J26">
        <v>20.3</v>
      </c>
      <c r="K26">
        <v>185</v>
      </c>
      <c r="L26">
        <v>7.2</v>
      </c>
      <c r="M26" t="s">
        <v>49</v>
      </c>
      <c r="N26" t="s">
        <v>50</v>
      </c>
      <c r="O26">
        <v>0.8</v>
      </c>
      <c r="P26" t="s">
        <v>51</v>
      </c>
      <c r="Q26">
        <v>12</v>
      </c>
      <c r="R26">
        <v>136</v>
      </c>
      <c r="S26">
        <f>Tabel313[[#This Row],[Forbrug (WH)]]/Tabel313[[#This Row],[Længde svejsning]]</f>
        <v>0.41212121212121211</v>
      </c>
      <c r="T26">
        <v>105</v>
      </c>
      <c r="U26">
        <f>R26/T26</f>
        <v>1.2952380952380953</v>
      </c>
      <c r="V26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26">
        <f>Tabel313[[#This Row],[Areal snit]]*Tabel313[[#This Row],[Længde svejsning]]</f>
        <v>2062.5000000000005</v>
      </c>
      <c r="X26">
        <f>Tabel313[[#This Row],[Forbrug (WH)]]/Tabel313[[#This Row],[Vol svejsning mm]]</f>
        <v>6.5939393939393923E-2</v>
      </c>
    </row>
    <row r="27" spans="3:32" x14ac:dyDescent="0.35">
      <c r="C27" t="s">
        <v>56</v>
      </c>
      <c r="D27">
        <v>9</v>
      </c>
      <c r="E27" t="s">
        <v>46</v>
      </c>
      <c r="F27" t="s">
        <v>59</v>
      </c>
      <c r="G27">
        <v>330</v>
      </c>
      <c r="H27" t="s">
        <v>48</v>
      </c>
      <c r="I27">
        <v>5</v>
      </c>
      <c r="J27">
        <v>20.3</v>
      </c>
      <c r="K27">
        <v>185</v>
      </c>
      <c r="L27">
        <v>7.2</v>
      </c>
      <c r="M27" t="s">
        <v>49</v>
      </c>
      <c r="N27" t="s">
        <v>50</v>
      </c>
      <c r="O27">
        <v>0.8</v>
      </c>
      <c r="P27" t="s">
        <v>51</v>
      </c>
      <c r="Q27">
        <v>12</v>
      </c>
      <c r="R27">
        <v>128</v>
      </c>
      <c r="S27">
        <f>Tabel313[[#This Row],[Forbrug (WH)]]/Tabel313[[#This Row],[Længde svejsning]]</f>
        <v>0.38787878787878788</v>
      </c>
      <c r="T27">
        <v>102</v>
      </c>
      <c r="U27">
        <f>R27/T27</f>
        <v>1.2549019607843137</v>
      </c>
      <c r="V27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27">
        <f>Tabel313[[#This Row],[Areal snit]]*Tabel313[[#This Row],[Længde svejsning]]</f>
        <v>2062.5000000000005</v>
      </c>
      <c r="X27">
        <f>Tabel313[[#This Row],[Forbrug (WH)]]/Tabel313[[#This Row],[Vol svejsning mm]]</f>
        <v>6.2060606060606045E-2</v>
      </c>
    </row>
    <row r="28" spans="3:32" x14ac:dyDescent="0.35">
      <c r="C28" t="s">
        <v>56</v>
      </c>
      <c r="D28">
        <v>10</v>
      </c>
      <c r="E28" t="s">
        <v>46</v>
      </c>
      <c r="F28" t="s">
        <v>59</v>
      </c>
      <c r="G28">
        <v>330</v>
      </c>
      <c r="H28" t="s">
        <v>48</v>
      </c>
      <c r="I28">
        <v>5</v>
      </c>
      <c r="J28">
        <v>20.3</v>
      </c>
      <c r="K28">
        <v>185</v>
      </c>
      <c r="L28">
        <v>7.2</v>
      </c>
      <c r="M28" t="s">
        <v>49</v>
      </c>
      <c r="N28" t="s">
        <v>50</v>
      </c>
      <c r="O28">
        <v>0.8</v>
      </c>
      <c r="P28" t="s">
        <v>51</v>
      </c>
      <c r="Q28">
        <v>12</v>
      </c>
      <c r="R28">
        <v>138</v>
      </c>
      <c r="S28">
        <f>Tabel313[[#This Row],[Forbrug (WH)]]/Tabel313[[#This Row],[Længde svejsning]]</f>
        <v>0.41818181818181815</v>
      </c>
      <c r="T28">
        <v>107</v>
      </c>
      <c r="U28">
        <f>R28/T28</f>
        <v>1.2897196261682242</v>
      </c>
      <c r="V28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28">
        <f>Tabel313[[#This Row],[Areal snit]]*Tabel313[[#This Row],[Længde svejsning]]</f>
        <v>2062.5000000000005</v>
      </c>
      <c r="X28">
        <f>Tabel313[[#This Row],[Forbrug (WH)]]/Tabel313[[#This Row],[Vol svejsning mm]]</f>
        <v>6.690909090909089E-2</v>
      </c>
    </row>
    <row r="29" spans="3:32" x14ac:dyDescent="0.35">
      <c r="C29" t="s">
        <v>56</v>
      </c>
      <c r="D29" s="6" t="s">
        <v>58</v>
      </c>
      <c r="E29" s="2" t="s">
        <v>46</v>
      </c>
      <c r="F29" s="2" t="s">
        <v>59</v>
      </c>
      <c r="G29" s="2">
        <v>330</v>
      </c>
      <c r="H29" s="2" t="s">
        <v>48</v>
      </c>
      <c r="I29" s="2">
        <v>5</v>
      </c>
      <c r="J29" s="2">
        <v>20.3</v>
      </c>
      <c r="K29" s="2">
        <v>185</v>
      </c>
      <c r="L29" s="2">
        <v>7.2</v>
      </c>
      <c r="M29" s="2" t="s">
        <v>49</v>
      </c>
      <c r="N29" s="2" t="s">
        <v>50</v>
      </c>
      <c r="O29" s="2">
        <v>0.8</v>
      </c>
      <c r="P29" s="2" t="s">
        <v>51</v>
      </c>
      <c r="Q29" s="2">
        <v>12</v>
      </c>
      <c r="R29" s="2">
        <f>(R25+R26+R27+R28)/4</f>
        <v>132.5</v>
      </c>
      <c r="S29" s="2">
        <f>Tabel313[[#This Row],[Forbrug (WH)]]/Tabel313[[#This Row],[Længde svejsning]]</f>
        <v>0.40151515151515149</v>
      </c>
      <c r="T29" s="2">
        <f>(T25+T26+T27+T28)/4</f>
        <v>103.5</v>
      </c>
      <c r="U29" s="2">
        <f>(U25+U26+U27+U28)/4</f>
        <v>1.2799649205476582</v>
      </c>
      <c r="V29" s="2">
        <f>((SQRT((POWER((Tabel313[[#This Row],[A mål]]/2),2)+(POWER((Tabel313[[#This Row],[A mål]]/2),2)))))*(SQRT((POWER((Tabel313[[#This Row],[A mål]]/2),2)+(POWER((Tabel313[[#This Row],[A mål]]/2),2))))))/2</f>
        <v>6.2500000000000009</v>
      </c>
      <c r="W29" s="2">
        <f>Tabel313[[#This Row],[Areal snit]]*Tabel313[[#This Row],[Længde svejsning]]</f>
        <v>2062.5000000000005</v>
      </c>
      <c r="X29" s="2">
        <f>Tabel313[[#This Row],[Forbrug (WH)]]/Tabel313[[#This Row],[Vol svejsning mm]]</f>
        <v>6.4242424242424226E-2</v>
      </c>
    </row>
    <row r="30" spans="3:32" x14ac:dyDescent="0.35">
      <c r="C30" t="s">
        <v>55</v>
      </c>
      <c r="D30">
        <v>1</v>
      </c>
      <c r="E30" t="s">
        <v>52</v>
      </c>
      <c r="F30" t="s">
        <v>47</v>
      </c>
      <c r="G30">
        <v>330</v>
      </c>
      <c r="H30" t="s">
        <v>48</v>
      </c>
      <c r="I30">
        <v>1.2</v>
      </c>
      <c r="J30" t="s">
        <v>60</v>
      </c>
      <c r="K30">
        <v>100</v>
      </c>
      <c r="M30" t="s">
        <v>61</v>
      </c>
      <c r="N30" t="s">
        <v>62</v>
      </c>
      <c r="P30" t="s">
        <v>63</v>
      </c>
      <c r="Q30">
        <v>10</v>
      </c>
      <c r="R30">
        <v>48</v>
      </c>
      <c r="S30">
        <f>Tabel313[[#This Row],[Forbrug (WH)]]/Tabel313[[#This Row],[Længde svejsning]]</f>
        <v>0.14545454545454545</v>
      </c>
      <c r="T30">
        <v>147</v>
      </c>
      <c r="U30">
        <f t="shared" ref="U30:U35" si="2">R30/T30</f>
        <v>0.32653061224489793</v>
      </c>
      <c r="V30">
        <f>((SQRT((POWER((Tabel313[[#This Row],[A mål]]/2),2)+(POWER((Tabel313[[#This Row],[A mål]]/2),2)))))*(SQRT((POWER((Tabel313[[#This Row],[A mål]]/2),2)+(POWER((Tabel313[[#This Row],[A mål]]/2),2))))))/2</f>
        <v>0.36</v>
      </c>
      <c r="W30">
        <f>Tabel313[[#This Row],[Areal snit]]*Tabel313[[#This Row],[Længde svejsning]]</f>
        <v>118.8</v>
      </c>
      <c r="X30">
        <f>Tabel313[[#This Row],[Forbrug (WH)]]/Tabel313[[#This Row],[Vol svejsning mm]]</f>
        <v>0.40404040404040403</v>
      </c>
    </row>
    <row r="31" spans="3:32" x14ac:dyDescent="0.35">
      <c r="C31" t="s">
        <v>55</v>
      </c>
      <c r="D31">
        <v>2</v>
      </c>
      <c r="E31" t="s">
        <v>52</v>
      </c>
      <c r="F31" t="s">
        <v>47</v>
      </c>
      <c r="G31">
        <v>330</v>
      </c>
      <c r="H31" t="s">
        <v>48</v>
      </c>
      <c r="I31">
        <v>3</v>
      </c>
      <c r="J31" t="s">
        <v>60</v>
      </c>
      <c r="K31">
        <v>100</v>
      </c>
      <c r="M31" t="s">
        <v>61</v>
      </c>
      <c r="N31" t="s">
        <v>62</v>
      </c>
      <c r="P31" t="s">
        <v>63</v>
      </c>
      <c r="Q31">
        <v>10</v>
      </c>
      <c r="R31">
        <v>117</v>
      </c>
      <c r="S31">
        <f>Tabel313[[#This Row],[Forbrug (WH)]]/Tabel313[[#This Row],[Længde svejsning]]</f>
        <v>0.35454545454545455</v>
      </c>
      <c r="T31">
        <v>343</v>
      </c>
      <c r="U31">
        <f t="shared" si="2"/>
        <v>0.34110787172011664</v>
      </c>
      <c r="V31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31">
        <f>Tabel313[[#This Row],[Areal snit]]*Tabel313[[#This Row],[Længde svejsning]]</f>
        <v>742.49999999999989</v>
      </c>
      <c r="X31">
        <f>Tabel313[[#This Row],[Forbrug (WH)]]/Tabel313[[#This Row],[Vol svejsning mm]]</f>
        <v>0.15757575757575759</v>
      </c>
      <c r="AA31" s="42" t="s">
        <v>64</v>
      </c>
      <c r="AB31" s="43"/>
      <c r="AC31" s="43"/>
      <c r="AD31" s="43"/>
    </row>
    <row r="32" spans="3:32" x14ac:dyDescent="0.35">
      <c r="C32" t="s">
        <v>55</v>
      </c>
      <c r="D32">
        <v>3</v>
      </c>
      <c r="E32" t="s">
        <v>52</v>
      </c>
      <c r="F32" t="s">
        <v>65</v>
      </c>
      <c r="G32">
        <v>165</v>
      </c>
      <c r="H32" t="s">
        <v>48</v>
      </c>
      <c r="I32">
        <v>3</v>
      </c>
      <c r="J32" t="s">
        <v>60</v>
      </c>
      <c r="K32">
        <v>100</v>
      </c>
      <c r="M32" t="s">
        <v>61</v>
      </c>
      <c r="N32" t="s">
        <v>62</v>
      </c>
      <c r="P32" t="s">
        <v>63</v>
      </c>
      <c r="Q32">
        <v>10</v>
      </c>
      <c r="R32">
        <v>67</v>
      </c>
      <c r="S32">
        <f>Tabel313[[#This Row],[Forbrug (WH)]]/Tabel313[[#This Row],[Længde svejsning]]</f>
        <v>0.40606060606060607</v>
      </c>
      <c r="T32">
        <v>190</v>
      </c>
      <c r="U32">
        <f t="shared" si="2"/>
        <v>0.35263157894736841</v>
      </c>
      <c r="V3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32">
        <f>Tabel313[[#This Row],[Areal snit]]*Tabel313[[#This Row],[Længde svejsning]]</f>
        <v>371.24999999999994</v>
      </c>
      <c r="X32">
        <f>Tabel313[[#This Row],[Forbrug (WH)]]/Tabel313[[#This Row],[Vol svejsning mm]]</f>
        <v>0.1804713804713805</v>
      </c>
      <c r="AA32" t="s">
        <v>66</v>
      </c>
      <c r="AB32" t="s">
        <v>67</v>
      </c>
      <c r="AC32" t="s">
        <v>68</v>
      </c>
      <c r="AD32" t="s">
        <v>69</v>
      </c>
      <c r="AE32" t="s">
        <v>70</v>
      </c>
      <c r="AF32" t="s">
        <v>71</v>
      </c>
    </row>
    <row r="33" spans="3:32" x14ac:dyDescent="0.35">
      <c r="C33" t="s">
        <v>55</v>
      </c>
      <c r="D33">
        <v>4</v>
      </c>
      <c r="E33" t="s">
        <v>52</v>
      </c>
      <c r="F33" t="s">
        <v>65</v>
      </c>
      <c r="G33">
        <v>165</v>
      </c>
      <c r="H33" t="s">
        <v>48</v>
      </c>
      <c r="I33">
        <v>3</v>
      </c>
      <c r="J33" t="s">
        <v>60</v>
      </c>
      <c r="K33">
        <v>100</v>
      </c>
      <c r="M33" t="s">
        <v>61</v>
      </c>
      <c r="N33" t="s">
        <v>62</v>
      </c>
      <c r="P33" t="s">
        <v>63</v>
      </c>
      <c r="Q33">
        <v>10</v>
      </c>
      <c r="R33">
        <v>66.3</v>
      </c>
      <c r="S33">
        <f>Tabel313[[#This Row],[Forbrug (WH)]]/Tabel313[[#This Row],[Længde svejsning]]</f>
        <v>0.4018181818181818</v>
      </c>
      <c r="T33">
        <v>195</v>
      </c>
      <c r="U33">
        <f t="shared" si="2"/>
        <v>0.33999999999999997</v>
      </c>
      <c r="V33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33">
        <f>Tabel313[[#This Row],[Areal snit]]*Tabel313[[#This Row],[Længde svejsning]]</f>
        <v>371.24999999999994</v>
      </c>
      <c r="X33">
        <f>Tabel313[[#This Row],[Forbrug (WH)]]/Tabel313[[#This Row],[Vol svejsning mm]]</f>
        <v>0.1785858585858586</v>
      </c>
      <c r="AA33">
        <v>3</v>
      </c>
      <c r="AB33">
        <v>3</v>
      </c>
      <c r="AC33">
        <v>1</v>
      </c>
      <c r="AD33">
        <v>4</v>
      </c>
      <c r="AE33">
        <v>1</v>
      </c>
      <c r="AF33">
        <v>4</v>
      </c>
    </row>
    <row r="34" spans="3:32" x14ac:dyDescent="0.35">
      <c r="C34" t="s">
        <v>55</v>
      </c>
      <c r="D34">
        <v>5</v>
      </c>
      <c r="E34" t="s">
        <v>52</v>
      </c>
      <c r="F34" t="s">
        <v>65</v>
      </c>
      <c r="G34">
        <v>165</v>
      </c>
      <c r="H34" t="s">
        <v>48</v>
      </c>
      <c r="I34">
        <v>3</v>
      </c>
      <c r="J34" t="s">
        <v>60</v>
      </c>
      <c r="K34">
        <v>100</v>
      </c>
      <c r="M34" t="s">
        <v>61</v>
      </c>
      <c r="N34" t="s">
        <v>62</v>
      </c>
      <c r="P34" t="s">
        <v>63</v>
      </c>
      <c r="Q34">
        <v>10</v>
      </c>
      <c r="R34">
        <v>65.3</v>
      </c>
      <c r="S34">
        <f>Tabel313[[#This Row],[Forbrug (WH)]]/Tabel313[[#This Row],[Længde svejsning]]</f>
        <v>0.39575757575757575</v>
      </c>
      <c r="T34">
        <v>196</v>
      </c>
      <c r="U34">
        <f t="shared" si="2"/>
        <v>0.33316326530612245</v>
      </c>
      <c r="V34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34">
        <f>Tabel313[[#This Row],[Areal snit]]*Tabel313[[#This Row],[Længde svejsning]]</f>
        <v>371.24999999999994</v>
      </c>
      <c r="X34">
        <f>Tabel313[[#This Row],[Forbrug (WH)]]/Tabel313[[#This Row],[Vol svejsning mm]]</f>
        <v>0.17589225589225591</v>
      </c>
      <c r="AA34">
        <v>5</v>
      </c>
      <c r="AB34">
        <v>5</v>
      </c>
      <c r="AC34">
        <v>3</v>
      </c>
      <c r="AE34">
        <v>3</v>
      </c>
    </row>
    <row r="35" spans="3:32" x14ac:dyDescent="0.35">
      <c r="C35" t="s">
        <v>55</v>
      </c>
      <c r="D35">
        <v>6</v>
      </c>
      <c r="E35" t="s">
        <v>52</v>
      </c>
      <c r="F35" t="s">
        <v>65</v>
      </c>
      <c r="G35">
        <v>165</v>
      </c>
      <c r="H35" t="s">
        <v>48</v>
      </c>
      <c r="I35">
        <v>3</v>
      </c>
      <c r="J35" t="s">
        <v>60</v>
      </c>
      <c r="K35">
        <v>100</v>
      </c>
      <c r="M35" t="s">
        <v>61</v>
      </c>
      <c r="N35" t="s">
        <v>62</v>
      </c>
      <c r="P35" t="s">
        <v>63</v>
      </c>
      <c r="Q35">
        <v>10</v>
      </c>
      <c r="R35">
        <v>62.3</v>
      </c>
      <c r="S35">
        <f>Tabel313[[#This Row],[Forbrug (WH)]]/Tabel313[[#This Row],[Længde svejsning]]</f>
        <v>0.37757575757575756</v>
      </c>
      <c r="T35">
        <v>198</v>
      </c>
      <c r="U35">
        <f t="shared" si="2"/>
        <v>0.31464646464646462</v>
      </c>
      <c r="V35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35">
        <f>Tabel313[[#This Row],[Areal snit]]*Tabel313[[#This Row],[Længde svejsning]]</f>
        <v>371.24999999999994</v>
      </c>
      <c r="X35">
        <f>Tabel313[[#This Row],[Forbrug (WH)]]/Tabel313[[#This Row],[Vol svejsning mm]]</f>
        <v>0.16781144781144783</v>
      </c>
    </row>
    <row r="36" spans="3:32" x14ac:dyDescent="0.35">
      <c r="C36" t="s">
        <v>55</v>
      </c>
      <c r="D36" s="6" t="s">
        <v>58</v>
      </c>
      <c r="E36" s="2" t="s">
        <v>52</v>
      </c>
      <c r="F36" s="2" t="s">
        <v>65</v>
      </c>
      <c r="G36" s="2">
        <v>165</v>
      </c>
      <c r="H36" s="2" t="s">
        <v>48</v>
      </c>
      <c r="I36" s="2">
        <v>3</v>
      </c>
      <c r="J36" s="2" t="s">
        <v>60</v>
      </c>
      <c r="K36" s="2">
        <v>100</v>
      </c>
      <c r="L36" s="2"/>
      <c r="M36" s="2" t="s">
        <v>61</v>
      </c>
      <c r="N36" s="2" t="s">
        <v>62</v>
      </c>
      <c r="O36" s="2"/>
      <c r="P36" s="2" t="s">
        <v>63</v>
      </c>
      <c r="Q36" s="2">
        <v>10</v>
      </c>
      <c r="R36" s="2">
        <f>(R32+R33+R34+R35)/4</f>
        <v>65.225000000000009</v>
      </c>
      <c r="S36" s="2">
        <f>Tabel313[[#This Row],[Forbrug (WH)]]/Tabel313[[#This Row],[Længde svejsning]]</f>
        <v>0.39530303030303038</v>
      </c>
      <c r="T36" s="2">
        <f>(T32+T33+T34+T35)/4</f>
        <v>194.75</v>
      </c>
      <c r="U36" s="2">
        <f>(U32+U33+U34+U35)/4</f>
        <v>0.33511032722498885</v>
      </c>
      <c r="V36" s="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36" s="2">
        <f>Tabel313[[#This Row],[Areal snit]]*Tabel313[[#This Row],[Længde svejsning]]</f>
        <v>371.24999999999994</v>
      </c>
      <c r="X36" s="2">
        <f>Tabel313[[#This Row],[Forbrug (WH)]]/Tabel313[[#This Row],[Vol svejsning mm]]</f>
        <v>0.17569023569023573</v>
      </c>
    </row>
    <row r="37" spans="3:32" x14ac:dyDescent="0.35">
      <c r="C37" t="s">
        <v>55</v>
      </c>
      <c r="D37">
        <v>1</v>
      </c>
      <c r="E37" t="s">
        <v>52</v>
      </c>
      <c r="F37" t="s">
        <v>72</v>
      </c>
      <c r="G37">
        <v>165</v>
      </c>
      <c r="H37" t="s">
        <v>48</v>
      </c>
      <c r="I37">
        <v>1</v>
      </c>
      <c r="J37">
        <v>10.8</v>
      </c>
      <c r="K37">
        <v>100</v>
      </c>
      <c r="M37" t="s">
        <v>61</v>
      </c>
      <c r="N37" t="s">
        <v>62</v>
      </c>
      <c r="O37">
        <v>1.6</v>
      </c>
      <c r="P37" t="s">
        <v>63</v>
      </c>
      <c r="Q37">
        <v>10</v>
      </c>
      <c r="R37">
        <v>16</v>
      </c>
      <c r="S37">
        <f>Tabel313[[#This Row],[Forbrug (WH)]]/Tabel313[[#This Row],[Længde svejsning]]</f>
        <v>9.696969696969697E-2</v>
      </c>
      <c r="T37">
        <v>50</v>
      </c>
      <c r="U37">
        <f t="shared" ref="U37" si="3">R37/T37</f>
        <v>0.32</v>
      </c>
      <c r="V37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37">
        <f>Tabel313[[#This Row],[Areal snit]]*Tabel313[[#This Row],[Længde svejsning]]</f>
        <v>41.250000000000007</v>
      </c>
      <c r="X37">
        <f>Tabel313[[#This Row],[Forbrug (WH)]]/Tabel313[[#This Row],[Vol svejsning mm]]</f>
        <v>0.38787878787878782</v>
      </c>
    </row>
    <row r="38" spans="3:32" x14ac:dyDescent="0.35">
      <c r="C38" t="s">
        <v>55</v>
      </c>
      <c r="D38">
        <v>2</v>
      </c>
      <c r="E38" t="s">
        <v>52</v>
      </c>
      <c r="F38" t="s">
        <v>72</v>
      </c>
      <c r="G38">
        <v>165</v>
      </c>
      <c r="H38" t="s">
        <v>48</v>
      </c>
      <c r="I38">
        <v>1</v>
      </c>
      <c r="J38">
        <v>10.8</v>
      </c>
      <c r="K38">
        <v>100</v>
      </c>
      <c r="M38" t="s">
        <v>61</v>
      </c>
      <c r="N38" t="s">
        <v>62</v>
      </c>
      <c r="O38">
        <v>1.6</v>
      </c>
      <c r="P38" t="s">
        <v>63</v>
      </c>
      <c r="Q38">
        <v>10</v>
      </c>
      <c r="R38">
        <v>19</v>
      </c>
      <c r="S38">
        <f>Tabel313[[#This Row],[Forbrug (WH)]]/Tabel313[[#This Row],[Længde svejsning]]</f>
        <v>0.11515151515151516</v>
      </c>
      <c r="T38">
        <v>60</v>
      </c>
      <c r="U38">
        <f t="shared" ref="U38:U41" si="4">R38/T38</f>
        <v>0.31666666666666665</v>
      </c>
      <c r="V38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38">
        <f>Tabel313[[#This Row],[Areal snit]]*Tabel313[[#This Row],[Længde svejsning]]</f>
        <v>41.250000000000007</v>
      </c>
      <c r="X38">
        <f>Tabel313[[#This Row],[Forbrug (WH)]]/Tabel313[[#This Row],[Vol svejsning mm]]</f>
        <v>0.46060606060606052</v>
      </c>
    </row>
    <row r="39" spans="3:32" x14ac:dyDescent="0.35">
      <c r="C39" t="s">
        <v>55</v>
      </c>
      <c r="D39">
        <v>3</v>
      </c>
      <c r="E39" t="s">
        <v>52</v>
      </c>
      <c r="F39" t="s">
        <v>72</v>
      </c>
      <c r="G39">
        <v>165</v>
      </c>
      <c r="H39" t="s">
        <v>48</v>
      </c>
      <c r="I39">
        <v>1</v>
      </c>
      <c r="J39">
        <v>10.8</v>
      </c>
      <c r="K39">
        <v>100</v>
      </c>
      <c r="M39" t="s">
        <v>61</v>
      </c>
      <c r="N39" t="s">
        <v>62</v>
      </c>
      <c r="O39">
        <v>1.6</v>
      </c>
      <c r="P39" t="s">
        <v>63</v>
      </c>
      <c r="Q39">
        <v>10</v>
      </c>
      <c r="R39">
        <v>16</v>
      </c>
      <c r="S39">
        <f>Tabel313[[#This Row],[Forbrug (WH)]]/Tabel313[[#This Row],[Længde svejsning]]</f>
        <v>9.696969696969697E-2</v>
      </c>
      <c r="T39">
        <v>48</v>
      </c>
      <c r="U39">
        <f t="shared" si="4"/>
        <v>0.33333333333333331</v>
      </c>
      <c r="V39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39">
        <f>Tabel313[[#This Row],[Areal snit]]*Tabel313[[#This Row],[Længde svejsning]]</f>
        <v>41.250000000000007</v>
      </c>
      <c r="X39">
        <f>Tabel313[[#This Row],[Forbrug (WH)]]/Tabel313[[#This Row],[Vol svejsning mm]]</f>
        <v>0.38787878787878782</v>
      </c>
    </row>
    <row r="40" spans="3:32" x14ac:dyDescent="0.35">
      <c r="C40" t="s">
        <v>55</v>
      </c>
      <c r="D40">
        <v>4</v>
      </c>
      <c r="E40" t="s">
        <v>52</v>
      </c>
      <c r="F40" t="s">
        <v>72</v>
      </c>
      <c r="G40">
        <v>165</v>
      </c>
      <c r="H40" t="s">
        <v>48</v>
      </c>
      <c r="I40">
        <v>1</v>
      </c>
      <c r="J40">
        <v>10.8</v>
      </c>
      <c r="K40">
        <v>100</v>
      </c>
      <c r="M40" t="s">
        <v>61</v>
      </c>
      <c r="N40" t="s">
        <v>62</v>
      </c>
      <c r="O40">
        <v>1.6</v>
      </c>
      <c r="P40" t="s">
        <v>63</v>
      </c>
      <c r="Q40">
        <v>10</v>
      </c>
      <c r="R40">
        <v>16</v>
      </c>
      <c r="S40">
        <f>Tabel313[[#This Row],[Forbrug (WH)]]/Tabel313[[#This Row],[Længde svejsning]]</f>
        <v>9.696969696969697E-2</v>
      </c>
      <c r="T40">
        <v>50</v>
      </c>
      <c r="U40">
        <f t="shared" si="4"/>
        <v>0.32</v>
      </c>
      <c r="V40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40">
        <f>Tabel313[[#This Row],[Areal snit]]*Tabel313[[#This Row],[Længde svejsning]]</f>
        <v>41.250000000000007</v>
      </c>
      <c r="X40">
        <f>Tabel313[[#This Row],[Forbrug (WH)]]/Tabel313[[#This Row],[Vol svejsning mm]]</f>
        <v>0.38787878787878782</v>
      </c>
    </row>
    <row r="41" spans="3:32" x14ac:dyDescent="0.35">
      <c r="C41" t="s">
        <v>55</v>
      </c>
      <c r="D41">
        <v>5</v>
      </c>
      <c r="E41" t="s">
        <v>52</v>
      </c>
      <c r="F41" t="s">
        <v>72</v>
      </c>
      <c r="G41">
        <v>165</v>
      </c>
      <c r="H41" t="s">
        <v>48</v>
      </c>
      <c r="I41">
        <v>1</v>
      </c>
      <c r="J41">
        <v>10.8</v>
      </c>
      <c r="K41">
        <v>100</v>
      </c>
      <c r="M41" t="s">
        <v>61</v>
      </c>
      <c r="N41" t="s">
        <v>62</v>
      </c>
      <c r="O41">
        <v>1.6</v>
      </c>
      <c r="P41" t="s">
        <v>63</v>
      </c>
      <c r="Q41">
        <v>10</v>
      </c>
      <c r="R41">
        <v>16</v>
      </c>
      <c r="S41">
        <f>Tabel313[[#This Row],[Forbrug (WH)]]/Tabel313[[#This Row],[Længde svejsning]]</f>
        <v>9.696969696969697E-2</v>
      </c>
      <c r="T41">
        <v>55</v>
      </c>
      <c r="U41">
        <f t="shared" si="4"/>
        <v>0.29090909090909089</v>
      </c>
      <c r="V41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41">
        <f>Tabel313[[#This Row],[Areal snit]]*Tabel313[[#This Row],[Længde svejsning]]</f>
        <v>41.250000000000007</v>
      </c>
      <c r="X41">
        <f>Tabel313[[#This Row],[Forbrug (WH)]]/Tabel313[[#This Row],[Vol svejsning mm]]</f>
        <v>0.38787878787878782</v>
      </c>
    </row>
    <row r="42" spans="3:32" x14ac:dyDescent="0.35">
      <c r="C42" t="s">
        <v>55</v>
      </c>
      <c r="D42" s="6" t="s">
        <v>58</v>
      </c>
      <c r="E42" s="2" t="s">
        <v>52</v>
      </c>
      <c r="F42" s="2" t="s">
        <v>65</v>
      </c>
      <c r="G42" s="2">
        <v>165</v>
      </c>
      <c r="H42" s="2" t="s">
        <v>48</v>
      </c>
      <c r="I42" s="2">
        <v>1</v>
      </c>
      <c r="J42" s="2">
        <v>10.8</v>
      </c>
      <c r="K42" s="2">
        <v>100</v>
      </c>
      <c r="L42" s="2"/>
      <c r="M42" s="2" t="s">
        <v>61</v>
      </c>
      <c r="N42" s="2" t="s">
        <v>62</v>
      </c>
      <c r="O42" s="2">
        <v>1.6</v>
      </c>
      <c r="P42" s="2" t="s">
        <v>63</v>
      </c>
      <c r="Q42" s="2">
        <v>10</v>
      </c>
      <c r="R42" s="2">
        <f>(R38+R39+R40+R41)/4</f>
        <v>16.75</v>
      </c>
      <c r="S42" s="2">
        <f>Tabel313[[#This Row],[Forbrug (WH)]]/Tabel313[[#This Row],[Længde svejsning]]</f>
        <v>0.10151515151515152</v>
      </c>
      <c r="T42" s="2">
        <f>(T38+T39+T40+T41)/4</f>
        <v>53.25</v>
      </c>
      <c r="U42" s="2">
        <f>(U38+U39+U40+U41)/4</f>
        <v>0.31522727272727269</v>
      </c>
      <c r="V42" s="2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42" s="2">
        <f>Tabel313[[#This Row],[Areal snit]]*Tabel313[[#This Row],[Længde svejsning]]</f>
        <v>41.250000000000007</v>
      </c>
      <c r="X42" s="2">
        <f>Tabel313[[#This Row],[Forbrug (WH)]]/Tabel313[[#This Row],[Vol svejsning mm]]</f>
        <v>0.40606060606060601</v>
      </c>
    </row>
    <row r="43" spans="3:32" x14ac:dyDescent="0.35">
      <c r="C43" t="s">
        <v>55</v>
      </c>
      <c r="D43">
        <v>1</v>
      </c>
      <c r="E43" t="s">
        <v>53</v>
      </c>
      <c r="F43" t="s">
        <v>73</v>
      </c>
      <c r="G43">
        <v>165</v>
      </c>
      <c r="H43" t="s">
        <v>48</v>
      </c>
      <c r="I43">
        <v>4</v>
      </c>
      <c r="K43">
        <v>90</v>
      </c>
      <c r="M43" t="s">
        <v>61</v>
      </c>
      <c r="N43" t="s">
        <v>62</v>
      </c>
      <c r="O43">
        <v>2.5</v>
      </c>
      <c r="P43" t="s">
        <v>74</v>
      </c>
      <c r="R43">
        <v>64</v>
      </c>
      <c r="S43">
        <f>Tabel313[[#This Row],[Forbrug (WH)]]/Tabel313[[#This Row],[Længde svejsning]]</f>
        <v>0.38787878787878788</v>
      </c>
      <c r="T43">
        <v>84</v>
      </c>
      <c r="U43">
        <f t="shared" ref="U43:U47" si="5">R43/T43</f>
        <v>0.76190476190476186</v>
      </c>
      <c r="V43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43">
        <f>Tabel313[[#This Row],[Areal snit]]*Tabel313[[#This Row],[Længde svejsning]]</f>
        <v>660.00000000000011</v>
      </c>
      <c r="X43">
        <f>Tabel313[[#This Row],[Forbrug (WH)]]/Tabel313[[#This Row],[Vol svejsning mm]]</f>
        <v>9.6969696969696956E-2</v>
      </c>
      <c r="Z43">
        <v>75</v>
      </c>
    </row>
    <row r="44" spans="3:32" x14ac:dyDescent="0.35">
      <c r="C44" t="s">
        <v>55</v>
      </c>
      <c r="D44">
        <v>2</v>
      </c>
      <c r="E44" t="s">
        <v>53</v>
      </c>
      <c r="F44" t="s">
        <v>73</v>
      </c>
      <c r="G44">
        <v>165</v>
      </c>
      <c r="H44" t="s">
        <v>48</v>
      </c>
      <c r="I44">
        <v>4</v>
      </c>
      <c r="K44">
        <v>90</v>
      </c>
      <c r="M44" t="s">
        <v>61</v>
      </c>
      <c r="N44" t="s">
        <v>62</v>
      </c>
      <c r="O44">
        <v>2.5</v>
      </c>
      <c r="P44" t="s">
        <v>74</v>
      </c>
      <c r="R44">
        <v>71</v>
      </c>
      <c r="S44">
        <f>Tabel313[[#This Row],[Forbrug (WH)]]/Tabel313[[#This Row],[Længde svejsning]]</f>
        <v>0.4303030303030303</v>
      </c>
      <c r="T44">
        <v>89</v>
      </c>
      <c r="U44">
        <f t="shared" si="5"/>
        <v>0.797752808988764</v>
      </c>
      <c r="V44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44">
        <f>Tabel313[[#This Row],[Areal snit]]*Tabel313[[#This Row],[Længde svejsning]]</f>
        <v>660.00000000000011</v>
      </c>
      <c r="X44">
        <f>Tabel313[[#This Row],[Forbrug (WH)]]/Tabel313[[#This Row],[Vol svejsning mm]]</f>
        <v>0.10757575757575756</v>
      </c>
    </row>
    <row r="45" spans="3:32" x14ac:dyDescent="0.35">
      <c r="C45" t="s">
        <v>55</v>
      </c>
      <c r="D45">
        <v>3</v>
      </c>
      <c r="E45" t="s">
        <v>53</v>
      </c>
      <c r="F45" t="s">
        <v>73</v>
      </c>
      <c r="G45">
        <v>165</v>
      </c>
      <c r="H45" t="s">
        <v>48</v>
      </c>
      <c r="I45">
        <v>4</v>
      </c>
      <c r="K45">
        <v>90</v>
      </c>
      <c r="M45" t="s">
        <v>61</v>
      </c>
      <c r="N45" t="s">
        <v>62</v>
      </c>
      <c r="O45">
        <v>2.5</v>
      </c>
      <c r="P45" t="s">
        <v>74</v>
      </c>
      <c r="R45">
        <v>75</v>
      </c>
      <c r="S45">
        <f>Tabel313[[#This Row],[Forbrug (WH)]]/Tabel313[[#This Row],[Længde svejsning]]</f>
        <v>0.45454545454545453</v>
      </c>
      <c r="T45">
        <v>103</v>
      </c>
      <c r="U45">
        <f t="shared" si="5"/>
        <v>0.72815533980582525</v>
      </c>
      <c r="V45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45">
        <f>Tabel313[[#This Row],[Areal snit]]*Tabel313[[#This Row],[Længde svejsning]]</f>
        <v>660.00000000000011</v>
      </c>
      <c r="X45">
        <f>Tabel313[[#This Row],[Forbrug (WH)]]/Tabel313[[#This Row],[Vol svejsning mm]]</f>
        <v>0.11363636363636362</v>
      </c>
    </row>
    <row r="46" spans="3:32" x14ac:dyDescent="0.35">
      <c r="C46" t="s">
        <v>55</v>
      </c>
      <c r="D46">
        <v>4</v>
      </c>
      <c r="E46" t="s">
        <v>53</v>
      </c>
      <c r="F46" t="s">
        <v>73</v>
      </c>
      <c r="G46">
        <v>165</v>
      </c>
      <c r="H46" t="s">
        <v>48</v>
      </c>
      <c r="I46">
        <v>4</v>
      </c>
      <c r="K46">
        <v>90</v>
      </c>
      <c r="M46" t="s">
        <v>61</v>
      </c>
      <c r="N46" t="s">
        <v>62</v>
      </c>
      <c r="O46">
        <v>2.5</v>
      </c>
      <c r="P46" t="s">
        <v>74</v>
      </c>
      <c r="R46">
        <v>66</v>
      </c>
      <c r="S46">
        <f>Tabel313[[#This Row],[Forbrug (WH)]]/Tabel313[[#This Row],[Længde svejsning]]</f>
        <v>0.4</v>
      </c>
      <c r="T46">
        <v>89</v>
      </c>
      <c r="U46">
        <f t="shared" si="5"/>
        <v>0.7415730337078652</v>
      </c>
      <c r="V46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46">
        <f>Tabel313[[#This Row],[Areal snit]]*Tabel313[[#This Row],[Længde svejsning]]</f>
        <v>660.00000000000011</v>
      </c>
      <c r="X46">
        <f>Tabel313[[#This Row],[Forbrug (WH)]]/Tabel313[[#This Row],[Vol svejsning mm]]</f>
        <v>9.9999999999999978E-2</v>
      </c>
    </row>
    <row r="47" spans="3:32" x14ac:dyDescent="0.35">
      <c r="C47" t="s">
        <v>55</v>
      </c>
      <c r="D47">
        <v>5</v>
      </c>
      <c r="E47" t="s">
        <v>53</v>
      </c>
      <c r="F47" t="s">
        <v>73</v>
      </c>
      <c r="G47">
        <v>165</v>
      </c>
      <c r="H47" t="s">
        <v>48</v>
      </c>
      <c r="I47">
        <v>4</v>
      </c>
      <c r="K47">
        <v>90</v>
      </c>
      <c r="M47" t="s">
        <v>61</v>
      </c>
      <c r="N47" t="s">
        <v>62</v>
      </c>
      <c r="O47">
        <v>2.5</v>
      </c>
      <c r="P47" t="s">
        <v>74</v>
      </c>
      <c r="R47">
        <v>68</v>
      </c>
      <c r="S47">
        <f>Tabel313[[#This Row],[Forbrug (WH)]]/Tabel313[[#This Row],[Længde svejsning]]</f>
        <v>0.41212121212121211</v>
      </c>
      <c r="T47">
        <v>92</v>
      </c>
      <c r="U47">
        <f t="shared" si="5"/>
        <v>0.73913043478260865</v>
      </c>
      <c r="V47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47">
        <f>Tabel313[[#This Row],[Areal snit]]*Tabel313[[#This Row],[Længde svejsning]]</f>
        <v>660.00000000000011</v>
      </c>
      <c r="X47">
        <f>Tabel313[[#This Row],[Forbrug (WH)]]/Tabel313[[#This Row],[Vol svejsning mm]]</f>
        <v>0.10303030303030301</v>
      </c>
    </row>
    <row r="48" spans="3:32" x14ac:dyDescent="0.35">
      <c r="C48" t="s">
        <v>55</v>
      </c>
      <c r="D48" s="6" t="s">
        <v>58</v>
      </c>
      <c r="E48" s="2" t="s">
        <v>53</v>
      </c>
      <c r="F48" s="2" t="s">
        <v>73</v>
      </c>
      <c r="G48" s="2">
        <v>165</v>
      </c>
      <c r="H48" s="2" t="s">
        <v>48</v>
      </c>
      <c r="I48" s="2">
        <v>4</v>
      </c>
      <c r="J48" s="2"/>
      <c r="K48" s="2">
        <v>90</v>
      </c>
      <c r="L48" s="2"/>
      <c r="M48" s="2" t="s">
        <v>61</v>
      </c>
      <c r="N48" s="2" t="s">
        <v>62</v>
      </c>
      <c r="O48" s="2">
        <v>2.5</v>
      </c>
      <c r="P48" s="2" t="s">
        <v>74</v>
      </c>
      <c r="Q48" s="2"/>
      <c r="R48" s="2">
        <f>(R43+R44+R45+R46+R47)/5</f>
        <v>68.8</v>
      </c>
      <c r="S48" s="2">
        <f>Tabel313[[#This Row],[Forbrug (WH)]]/Tabel313[[#This Row],[Længde svejsning]]</f>
        <v>0.41696969696969693</v>
      </c>
      <c r="T48" s="2">
        <f>(T43+T44+T45+T46+T47)/4</f>
        <v>114.25</v>
      </c>
      <c r="U48" s="2">
        <f>(U43+U44+U45+U46+U47)/5</f>
        <v>0.75370327583796504</v>
      </c>
      <c r="V48" s="2">
        <v>4</v>
      </c>
      <c r="W48" s="2">
        <f>Tabel313[[#This Row],[Areal snit]]*Tabel313[[#This Row],[Længde svejsning]]</f>
        <v>660</v>
      </c>
      <c r="X48" s="2">
        <f>Tabel313[[#This Row],[Forbrug (WH)]]/Tabel313[[#This Row],[Vol svejsning mm]]</f>
        <v>0.10424242424242423</v>
      </c>
    </row>
    <row r="49" spans="3:26" x14ac:dyDescent="0.35">
      <c r="C49" t="s">
        <v>57</v>
      </c>
      <c r="D49">
        <v>3</v>
      </c>
      <c r="E49" t="s">
        <v>52</v>
      </c>
      <c r="F49" t="s">
        <v>47</v>
      </c>
      <c r="G49">
        <v>165</v>
      </c>
      <c r="H49" t="s">
        <v>48</v>
      </c>
      <c r="I49">
        <v>3</v>
      </c>
      <c r="J49">
        <v>10.8</v>
      </c>
      <c r="K49">
        <v>100</v>
      </c>
      <c r="M49" t="s">
        <v>61</v>
      </c>
      <c r="N49" t="s">
        <v>62</v>
      </c>
      <c r="O49">
        <v>1.6</v>
      </c>
      <c r="P49" t="s">
        <v>63</v>
      </c>
      <c r="Q49">
        <v>10</v>
      </c>
      <c r="R49">
        <v>78.599999999999994</v>
      </c>
      <c r="S49">
        <f>Tabel313[[#This Row],[Forbrug (WH)]]/Tabel313[[#This Row],[Længde svejsning]]</f>
        <v>0.47636363636363632</v>
      </c>
      <c r="T49">
        <v>190</v>
      </c>
      <c r="U49">
        <f t="shared" ref="U49:U55" si="6">R49/T49</f>
        <v>0.41368421052631577</v>
      </c>
      <c r="V49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49">
        <f>Tabel313[[#This Row],[Areal snit]]*Tabel313[[#This Row],[Længde svejsning]]</f>
        <v>371.24999999999994</v>
      </c>
      <c r="X49">
        <f>Tabel313[[#This Row],[Forbrug (WH)]]/Tabel313[[#This Row],[Vol svejsning mm]]</f>
        <v>0.21171717171717172</v>
      </c>
    </row>
    <row r="50" spans="3:26" x14ac:dyDescent="0.35">
      <c r="C50" t="s">
        <v>57</v>
      </c>
      <c r="D50">
        <v>4</v>
      </c>
      <c r="E50" t="s">
        <v>52</v>
      </c>
      <c r="F50" t="s">
        <v>47</v>
      </c>
      <c r="G50">
        <v>165</v>
      </c>
      <c r="H50" t="s">
        <v>48</v>
      </c>
      <c r="I50">
        <v>3</v>
      </c>
      <c r="J50">
        <v>10.8</v>
      </c>
      <c r="K50">
        <v>100</v>
      </c>
      <c r="M50" t="s">
        <v>61</v>
      </c>
      <c r="N50" t="s">
        <v>62</v>
      </c>
      <c r="O50">
        <v>1.6</v>
      </c>
      <c r="P50" t="s">
        <v>63</v>
      </c>
      <c r="Q50">
        <v>8</v>
      </c>
      <c r="R50">
        <v>82.3</v>
      </c>
      <c r="S50">
        <f>Tabel313[[#This Row],[Forbrug (WH)]]/Tabel313[[#This Row],[Længde svejsning]]</f>
        <v>0.49878787878787878</v>
      </c>
      <c r="T50">
        <v>188</v>
      </c>
      <c r="U50">
        <f t="shared" si="6"/>
        <v>0.43776595744680852</v>
      </c>
      <c r="V50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50">
        <f>Tabel313[[#This Row],[Areal snit]]*Tabel313[[#This Row],[Længde svejsning]]</f>
        <v>371.24999999999994</v>
      </c>
      <c r="X50">
        <f>Tabel313[[#This Row],[Forbrug (WH)]]/Tabel313[[#This Row],[Vol svejsning mm]]</f>
        <v>0.2216835016835017</v>
      </c>
    </row>
    <row r="51" spans="3:26" x14ac:dyDescent="0.35">
      <c r="C51" t="s">
        <v>57</v>
      </c>
      <c r="D51">
        <v>5</v>
      </c>
      <c r="E51" t="s">
        <v>52</v>
      </c>
      <c r="F51" t="s">
        <v>47</v>
      </c>
      <c r="G51">
        <v>165</v>
      </c>
      <c r="H51" t="s">
        <v>48</v>
      </c>
      <c r="I51">
        <v>3</v>
      </c>
      <c r="J51">
        <v>10.8</v>
      </c>
      <c r="K51">
        <v>100</v>
      </c>
      <c r="M51" t="s">
        <v>61</v>
      </c>
      <c r="N51" t="s">
        <v>62</v>
      </c>
      <c r="O51">
        <v>1.6</v>
      </c>
      <c r="P51" t="s">
        <v>63</v>
      </c>
      <c r="Q51">
        <v>8</v>
      </c>
      <c r="R51">
        <v>75.7</v>
      </c>
      <c r="S51">
        <f>Tabel313[[#This Row],[Forbrug (WH)]]/Tabel313[[#This Row],[Længde svejsning]]</f>
        <v>0.4587878787878788</v>
      </c>
      <c r="T51">
        <v>199</v>
      </c>
      <c r="U51">
        <f t="shared" si="6"/>
        <v>0.38040201005025126</v>
      </c>
      <c r="V51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51">
        <f>Tabel313[[#This Row],[Areal snit]]*Tabel313[[#This Row],[Længde svejsning]]</f>
        <v>371.24999999999994</v>
      </c>
      <c r="X51">
        <f>Tabel313[[#This Row],[Forbrug (WH)]]/Tabel313[[#This Row],[Vol svejsning mm]]</f>
        <v>0.20390572390572395</v>
      </c>
    </row>
    <row r="52" spans="3:26" x14ac:dyDescent="0.35">
      <c r="C52" t="s">
        <v>57</v>
      </c>
      <c r="D52">
        <v>6</v>
      </c>
      <c r="E52" t="s">
        <v>52</v>
      </c>
      <c r="F52" t="s">
        <v>47</v>
      </c>
      <c r="G52">
        <v>165</v>
      </c>
      <c r="H52" t="s">
        <v>48</v>
      </c>
      <c r="I52">
        <v>3</v>
      </c>
      <c r="J52">
        <v>10.8</v>
      </c>
      <c r="K52">
        <v>100</v>
      </c>
      <c r="M52" t="s">
        <v>61</v>
      </c>
      <c r="N52" t="s">
        <v>62</v>
      </c>
      <c r="O52">
        <v>1.6</v>
      </c>
      <c r="P52" t="s">
        <v>63</v>
      </c>
      <c r="Q52">
        <v>8</v>
      </c>
      <c r="R52">
        <v>73</v>
      </c>
      <c r="S52">
        <f>Tabel313[[#This Row],[Forbrug (WH)]]/Tabel313[[#This Row],[Længde svejsning]]</f>
        <v>0.44242424242424244</v>
      </c>
      <c r="T52">
        <v>173</v>
      </c>
      <c r="U52">
        <f t="shared" si="6"/>
        <v>0.42196531791907516</v>
      </c>
      <c r="V5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52">
        <f>Tabel313[[#This Row],[Areal snit]]*Tabel313[[#This Row],[Længde svejsning]]</f>
        <v>371.24999999999994</v>
      </c>
      <c r="X52">
        <f>Tabel313[[#This Row],[Forbrug (WH)]]/Tabel313[[#This Row],[Vol svejsning mm]]</f>
        <v>0.19663299663299666</v>
      </c>
    </row>
    <row r="53" spans="3:26" x14ac:dyDescent="0.35">
      <c r="C53" t="s">
        <v>57</v>
      </c>
      <c r="D53">
        <v>7</v>
      </c>
      <c r="E53" t="s">
        <v>52</v>
      </c>
      <c r="F53" t="s">
        <v>47</v>
      </c>
      <c r="G53">
        <v>165</v>
      </c>
      <c r="H53" t="s">
        <v>48</v>
      </c>
      <c r="I53">
        <v>3</v>
      </c>
      <c r="J53">
        <v>10.8</v>
      </c>
      <c r="K53">
        <v>100</v>
      </c>
      <c r="M53" t="s">
        <v>61</v>
      </c>
      <c r="N53" t="s">
        <v>62</v>
      </c>
      <c r="O53">
        <v>1.6</v>
      </c>
      <c r="P53" t="s">
        <v>63</v>
      </c>
      <c r="Q53">
        <v>8</v>
      </c>
      <c r="R53">
        <v>74.599999999999994</v>
      </c>
      <c r="S53">
        <f>Tabel313[[#This Row],[Forbrug (WH)]]/Tabel313[[#This Row],[Længde svejsning]]</f>
        <v>0.45212121212121209</v>
      </c>
      <c r="T53">
        <v>182</v>
      </c>
      <c r="U53">
        <f t="shared" si="6"/>
        <v>0.40989010989010988</v>
      </c>
      <c r="V53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53">
        <f>Tabel313[[#This Row],[Areal snit]]*Tabel313[[#This Row],[Længde svejsning]]</f>
        <v>371.24999999999994</v>
      </c>
      <c r="X53">
        <f>Tabel313[[#This Row],[Forbrug (WH)]]/Tabel313[[#This Row],[Vol svejsning mm]]</f>
        <v>0.20094276094276095</v>
      </c>
    </row>
    <row r="54" spans="3:26" x14ac:dyDescent="0.35">
      <c r="C54" t="s">
        <v>57</v>
      </c>
      <c r="D54" s="6" t="s">
        <v>58</v>
      </c>
      <c r="E54" s="2" t="s">
        <v>52</v>
      </c>
      <c r="F54" s="2" t="s">
        <v>47</v>
      </c>
      <c r="G54" s="2">
        <v>165</v>
      </c>
      <c r="H54" s="2" t="s">
        <v>48</v>
      </c>
      <c r="I54" s="2">
        <v>3</v>
      </c>
      <c r="J54" s="2">
        <v>10.8</v>
      </c>
      <c r="K54" s="2">
        <v>100</v>
      </c>
      <c r="L54" s="2"/>
      <c r="M54" s="2" t="s">
        <v>61</v>
      </c>
      <c r="N54" s="2" t="s">
        <v>62</v>
      </c>
      <c r="O54" s="2">
        <v>1.6</v>
      </c>
      <c r="P54" s="2" t="s">
        <v>63</v>
      </c>
      <c r="Q54" s="2">
        <v>8</v>
      </c>
      <c r="R54" s="2">
        <f>(R49+R50+R51+R52+R53)/5</f>
        <v>76.839999999999989</v>
      </c>
      <c r="S54" s="2">
        <f>Tabel313[[#This Row],[Forbrug (WH)]]/Tabel313[[#This Row],[Længde svejsning]]</f>
        <v>0.46569696969696961</v>
      </c>
      <c r="T54" s="2">
        <f>(T49+T50+T51+T52+T53)/5</f>
        <v>186.4</v>
      </c>
      <c r="U54" s="2">
        <f>(U49+U50+U51+U52+U53)/5</f>
        <v>0.41274152116651208</v>
      </c>
      <c r="V54" s="2">
        <f>((SQRT((POWER((Tabel313[[#This Row],[A mål]]/2),2)+(POWER((Tabel313[[#This Row],[A mål]]/2),2)))))*(SQRT((POWER((Tabel313[[#This Row],[A mål]]/2),2)+(POWER((Tabel313[[#This Row],[A mål]]/2),2))))))/2</f>
        <v>2.2499999999999996</v>
      </c>
      <c r="W54" s="2">
        <f>Tabel313[[#This Row],[Areal snit]]*Tabel313[[#This Row],[Længde svejsning]]</f>
        <v>371.24999999999994</v>
      </c>
      <c r="X54" s="2">
        <f>Tabel313[[#This Row],[Forbrug (WH)]]/Tabel313[[#This Row],[Vol svejsning mm]]</f>
        <v>0.20697643097643098</v>
      </c>
    </row>
    <row r="55" spans="3:26" x14ac:dyDescent="0.35">
      <c r="C55" t="s">
        <v>57</v>
      </c>
      <c r="D55">
        <v>1</v>
      </c>
      <c r="E55" t="s">
        <v>52</v>
      </c>
      <c r="F55" t="s">
        <v>72</v>
      </c>
      <c r="G55">
        <v>165</v>
      </c>
      <c r="H55" t="s">
        <v>48</v>
      </c>
      <c r="I55">
        <v>1</v>
      </c>
      <c r="J55">
        <v>10.8</v>
      </c>
      <c r="K55">
        <v>100</v>
      </c>
      <c r="M55" t="s">
        <v>61</v>
      </c>
      <c r="N55" t="s">
        <v>62</v>
      </c>
      <c r="O55">
        <v>1.6</v>
      </c>
      <c r="P55" t="s">
        <v>63</v>
      </c>
      <c r="Q55">
        <v>10</v>
      </c>
      <c r="R55">
        <v>25</v>
      </c>
      <c r="S55">
        <f>Tabel313[[#This Row],[Forbrug (WH)]]/Tabel313[[#This Row],[Længde svejsning]]</f>
        <v>0.15151515151515152</v>
      </c>
      <c r="T55">
        <v>64</v>
      </c>
      <c r="U55">
        <f t="shared" si="6"/>
        <v>0.390625</v>
      </c>
      <c r="V55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55">
        <f>Tabel313[[#This Row],[Areal snit]]*Tabel313[[#This Row],[Længde svejsning]]</f>
        <v>41.250000000000007</v>
      </c>
      <c r="X55">
        <f>Tabel313[[#This Row],[Forbrug (WH)]]/Tabel313[[#This Row],[Vol svejsning mm]]</f>
        <v>0.60606060606060597</v>
      </c>
    </row>
    <row r="56" spans="3:26" x14ac:dyDescent="0.35">
      <c r="C56" t="s">
        <v>57</v>
      </c>
      <c r="D56">
        <v>2</v>
      </c>
      <c r="E56" t="s">
        <v>52</v>
      </c>
      <c r="F56" t="s">
        <v>72</v>
      </c>
      <c r="G56">
        <v>165</v>
      </c>
      <c r="H56" t="s">
        <v>48</v>
      </c>
      <c r="I56">
        <v>1</v>
      </c>
      <c r="J56">
        <v>10.8</v>
      </c>
      <c r="K56">
        <v>100</v>
      </c>
      <c r="M56" t="s">
        <v>61</v>
      </c>
      <c r="N56" t="s">
        <v>62</v>
      </c>
      <c r="O56">
        <v>1.6</v>
      </c>
      <c r="P56" t="s">
        <v>63</v>
      </c>
      <c r="Q56">
        <v>10</v>
      </c>
      <c r="R56">
        <v>22</v>
      </c>
      <c r="S56">
        <f>Tabel313[[#This Row],[Forbrug (WH)]]/Tabel313[[#This Row],[Længde svejsning]]</f>
        <v>0.13333333333333333</v>
      </c>
      <c r="T56">
        <v>55</v>
      </c>
      <c r="U56">
        <f t="shared" ref="U56" si="7">R56/T56</f>
        <v>0.4</v>
      </c>
      <c r="V56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56">
        <f>Tabel313[[#This Row],[Areal snit]]*Tabel313[[#This Row],[Længde svejsning]]</f>
        <v>41.250000000000007</v>
      </c>
      <c r="X56">
        <f>Tabel313[[#This Row],[Forbrug (WH)]]/Tabel313[[#This Row],[Vol svejsning mm]]</f>
        <v>0.53333333333333321</v>
      </c>
    </row>
    <row r="57" spans="3:26" x14ac:dyDescent="0.35">
      <c r="C57" t="s">
        <v>57</v>
      </c>
      <c r="D57">
        <v>3</v>
      </c>
      <c r="E57" t="s">
        <v>52</v>
      </c>
      <c r="F57" t="s">
        <v>72</v>
      </c>
      <c r="G57">
        <v>165</v>
      </c>
      <c r="H57" t="s">
        <v>48</v>
      </c>
      <c r="I57">
        <v>1</v>
      </c>
      <c r="J57">
        <v>10.8</v>
      </c>
      <c r="K57">
        <v>100</v>
      </c>
      <c r="M57" t="s">
        <v>61</v>
      </c>
      <c r="N57" t="s">
        <v>62</v>
      </c>
      <c r="O57">
        <v>1.6</v>
      </c>
      <c r="P57" t="s">
        <v>63</v>
      </c>
      <c r="Q57">
        <v>10</v>
      </c>
      <c r="R57">
        <v>20</v>
      </c>
      <c r="S57">
        <f>Tabel313[[#This Row],[Forbrug (WH)]]/Tabel313[[#This Row],[Længde svejsning]]</f>
        <v>0.12121212121212122</v>
      </c>
      <c r="T57">
        <v>48</v>
      </c>
      <c r="U57">
        <f t="shared" ref="U57:U59" si="8">R57/T57</f>
        <v>0.41666666666666669</v>
      </c>
      <c r="V57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57">
        <f>Tabel313[[#This Row],[Areal snit]]*Tabel313[[#This Row],[Længde svejsning]]</f>
        <v>41.250000000000007</v>
      </c>
      <c r="X57">
        <f>Tabel313[[#This Row],[Forbrug (WH)]]/Tabel313[[#This Row],[Vol svejsning mm]]</f>
        <v>0.48484848484848475</v>
      </c>
    </row>
    <row r="58" spans="3:26" x14ac:dyDescent="0.35">
      <c r="C58" t="s">
        <v>57</v>
      </c>
      <c r="D58">
        <v>4</v>
      </c>
      <c r="E58" t="s">
        <v>52</v>
      </c>
      <c r="F58" t="s">
        <v>72</v>
      </c>
      <c r="G58">
        <v>165</v>
      </c>
      <c r="H58" t="s">
        <v>48</v>
      </c>
      <c r="I58">
        <v>1</v>
      </c>
      <c r="J58">
        <v>10.8</v>
      </c>
      <c r="K58">
        <v>100</v>
      </c>
      <c r="M58" t="s">
        <v>61</v>
      </c>
      <c r="N58" t="s">
        <v>62</v>
      </c>
      <c r="O58">
        <v>1.6</v>
      </c>
      <c r="P58" t="s">
        <v>63</v>
      </c>
      <c r="Q58">
        <v>10</v>
      </c>
      <c r="R58">
        <v>21</v>
      </c>
      <c r="S58">
        <f>Tabel313[[#This Row],[Forbrug (WH)]]/Tabel313[[#This Row],[Længde svejsning]]</f>
        <v>0.12727272727272726</v>
      </c>
      <c r="T58">
        <v>52</v>
      </c>
      <c r="U58">
        <f t="shared" si="8"/>
        <v>0.40384615384615385</v>
      </c>
      <c r="V58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58">
        <f>Tabel313[[#This Row],[Areal snit]]*Tabel313[[#This Row],[Længde svejsning]]</f>
        <v>41.250000000000007</v>
      </c>
      <c r="X58">
        <f>Tabel313[[#This Row],[Forbrug (WH)]]/Tabel313[[#This Row],[Vol svejsning mm]]</f>
        <v>0.50909090909090904</v>
      </c>
    </row>
    <row r="59" spans="3:26" x14ac:dyDescent="0.35">
      <c r="C59" t="s">
        <v>57</v>
      </c>
      <c r="D59">
        <v>5</v>
      </c>
      <c r="E59" t="s">
        <v>52</v>
      </c>
      <c r="F59" t="s">
        <v>72</v>
      </c>
      <c r="G59">
        <v>165</v>
      </c>
      <c r="H59" t="s">
        <v>48</v>
      </c>
      <c r="I59">
        <v>1</v>
      </c>
      <c r="J59">
        <v>10.8</v>
      </c>
      <c r="K59">
        <v>100</v>
      </c>
      <c r="M59" t="s">
        <v>61</v>
      </c>
      <c r="N59" t="s">
        <v>62</v>
      </c>
      <c r="O59">
        <v>1.6</v>
      </c>
      <c r="P59" t="s">
        <v>63</v>
      </c>
      <c r="Q59">
        <v>10</v>
      </c>
      <c r="R59">
        <v>23</v>
      </c>
      <c r="S59">
        <f>Tabel313[[#This Row],[Forbrug (WH)]]/Tabel313[[#This Row],[Længde svejsning]]</f>
        <v>0.1393939393939394</v>
      </c>
      <c r="T59">
        <v>57</v>
      </c>
      <c r="U59">
        <f t="shared" si="8"/>
        <v>0.40350877192982454</v>
      </c>
      <c r="V59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59">
        <f>Tabel313[[#This Row],[Areal snit]]*Tabel313[[#This Row],[Længde svejsning]]</f>
        <v>41.250000000000007</v>
      </c>
      <c r="X59">
        <f>Tabel313[[#This Row],[Forbrug (WH)]]/Tabel313[[#This Row],[Vol svejsning mm]]</f>
        <v>0.5575757575757575</v>
      </c>
    </row>
    <row r="60" spans="3:26" x14ac:dyDescent="0.35">
      <c r="C60" t="s">
        <v>57</v>
      </c>
      <c r="D60" s="6" t="s">
        <v>58</v>
      </c>
      <c r="E60" s="2" t="s">
        <v>52</v>
      </c>
      <c r="F60" s="2" t="s">
        <v>72</v>
      </c>
      <c r="G60" s="2">
        <v>165</v>
      </c>
      <c r="H60" s="2" t="s">
        <v>48</v>
      </c>
      <c r="I60" s="2">
        <v>1</v>
      </c>
      <c r="J60" s="2">
        <v>10.8</v>
      </c>
      <c r="K60" s="2">
        <v>100</v>
      </c>
      <c r="L60" s="2"/>
      <c r="M60" s="2" t="s">
        <v>61</v>
      </c>
      <c r="N60" s="2" t="s">
        <v>62</v>
      </c>
      <c r="O60" s="2">
        <v>1.6</v>
      </c>
      <c r="P60" s="2" t="s">
        <v>63</v>
      </c>
      <c r="Q60" s="2">
        <v>10</v>
      </c>
      <c r="R60" s="2">
        <f>(R55+R56+R57+R58+R59)/5</f>
        <v>22.2</v>
      </c>
      <c r="S60" s="2">
        <f>Tabel313[[#This Row],[Forbrug (WH)]]/Tabel313[[#This Row],[Længde svejsning]]</f>
        <v>0.13454545454545455</v>
      </c>
      <c r="T60" s="2">
        <f>(T55+T56+T57+T58+T59)/5</f>
        <v>55.2</v>
      </c>
      <c r="U60" s="2">
        <f>(U55+U56+U57+U58+U59)/5</f>
        <v>0.40292931848852903</v>
      </c>
      <c r="V60" s="2">
        <f>((SQRT((POWER((Tabel313[[#This Row],[A mål]]/2),2)+(POWER((Tabel313[[#This Row],[A mål]]/2),2)))))*(SQRT((POWER((Tabel313[[#This Row],[A mål]]/2),2)+(POWER((Tabel313[[#This Row],[A mål]]/2),2))))))/2</f>
        <v>0.25000000000000006</v>
      </c>
      <c r="W60" s="2">
        <f>Tabel313[[#This Row],[Areal snit]]*Tabel313[[#This Row],[Længde svejsning]]</f>
        <v>41.250000000000007</v>
      </c>
      <c r="X60" s="2">
        <f>Tabel313[[#This Row],[Forbrug (WH)]]/Tabel313[[#This Row],[Vol svejsning mm]]</f>
        <v>0.53818181818181809</v>
      </c>
    </row>
    <row r="61" spans="3:26" x14ac:dyDescent="0.35">
      <c r="C61" t="s">
        <v>57</v>
      </c>
      <c r="D61">
        <v>1</v>
      </c>
      <c r="E61" t="s">
        <v>53</v>
      </c>
      <c r="F61" t="s">
        <v>73</v>
      </c>
      <c r="G61">
        <v>165</v>
      </c>
      <c r="H61" t="s">
        <v>48</v>
      </c>
      <c r="I61">
        <v>4</v>
      </c>
      <c r="J61">
        <v>27</v>
      </c>
      <c r="K61">
        <v>90</v>
      </c>
      <c r="M61" t="s">
        <v>61</v>
      </c>
      <c r="N61" t="s">
        <v>62</v>
      </c>
      <c r="O61">
        <v>2.5</v>
      </c>
      <c r="P61" t="s">
        <v>74</v>
      </c>
      <c r="R61">
        <v>65</v>
      </c>
      <c r="S61">
        <f>Tabel313[[#This Row],[Forbrug (WH)]]/Tabel313[[#This Row],[Længde svejsning]]</f>
        <v>0.39393939393939392</v>
      </c>
      <c r="T61">
        <v>78</v>
      </c>
      <c r="U61">
        <f t="shared" ref="U61:U65" si="9">R61/T61</f>
        <v>0.83333333333333337</v>
      </c>
      <c r="V61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61">
        <f>Tabel313[[#This Row],[Areal snit]]*Tabel313[[#This Row],[Længde svejsning]]</f>
        <v>660.00000000000011</v>
      </c>
      <c r="X61">
        <f>Tabel313[[#This Row],[Forbrug (WH)]]/Tabel313[[#This Row],[Vol svejsning mm]]</f>
        <v>9.8484848484848467E-2</v>
      </c>
      <c r="Z61">
        <v>45</v>
      </c>
    </row>
    <row r="62" spans="3:26" x14ac:dyDescent="0.35">
      <c r="C62" t="s">
        <v>57</v>
      </c>
      <c r="D62">
        <v>2</v>
      </c>
      <c r="E62" t="s">
        <v>53</v>
      </c>
      <c r="F62" t="s">
        <v>73</v>
      </c>
      <c r="G62">
        <v>165</v>
      </c>
      <c r="H62" t="s">
        <v>48</v>
      </c>
      <c r="I62">
        <v>4</v>
      </c>
      <c r="J62">
        <v>27</v>
      </c>
      <c r="K62">
        <v>90</v>
      </c>
      <c r="M62" t="s">
        <v>61</v>
      </c>
      <c r="N62" t="s">
        <v>62</v>
      </c>
      <c r="O62">
        <v>2.5</v>
      </c>
      <c r="P62" t="s">
        <v>74</v>
      </c>
      <c r="R62">
        <v>68</v>
      </c>
      <c r="S62">
        <f>Tabel313[[#This Row],[Forbrug (WH)]]/Tabel313[[#This Row],[Længde svejsning]]</f>
        <v>0.41212121212121211</v>
      </c>
      <c r="T62">
        <v>81</v>
      </c>
      <c r="U62">
        <f t="shared" si="9"/>
        <v>0.83950617283950613</v>
      </c>
      <c r="V62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62">
        <f>Tabel313[[#This Row],[Areal snit]]*Tabel313[[#This Row],[Længde svejsning]]</f>
        <v>660.00000000000011</v>
      </c>
      <c r="X62">
        <f>Tabel313[[#This Row],[Forbrug (WH)]]/Tabel313[[#This Row],[Vol svejsning mm]]</f>
        <v>0.10303030303030301</v>
      </c>
      <c r="Y62">
        <v>10</v>
      </c>
      <c r="Z62">
        <v>135</v>
      </c>
    </row>
    <row r="63" spans="3:26" x14ac:dyDescent="0.35">
      <c r="C63" t="s">
        <v>57</v>
      </c>
      <c r="D63">
        <v>3</v>
      </c>
      <c r="E63" t="s">
        <v>53</v>
      </c>
      <c r="F63" t="s">
        <v>73</v>
      </c>
      <c r="G63">
        <v>165</v>
      </c>
      <c r="H63" t="s">
        <v>48</v>
      </c>
      <c r="I63">
        <v>4</v>
      </c>
      <c r="J63">
        <v>27</v>
      </c>
      <c r="K63">
        <v>90</v>
      </c>
      <c r="M63" t="s">
        <v>61</v>
      </c>
      <c r="N63" t="s">
        <v>62</v>
      </c>
      <c r="O63">
        <v>2.5</v>
      </c>
      <c r="P63" t="s">
        <v>74</v>
      </c>
      <c r="R63">
        <v>71</v>
      </c>
      <c r="S63">
        <f>Tabel313[[#This Row],[Forbrug (WH)]]/Tabel313[[#This Row],[Længde svejsning]]</f>
        <v>0.4303030303030303</v>
      </c>
      <c r="T63">
        <v>88</v>
      </c>
      <c r="U63">
        <f t="shared" si="9"/>
        <v>0.80681818181818177</v>
      </c>
      <c r="V63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63">
        <f>Tabel313[[#This Row],[Areal snit]]*Tabel313[[#This Row],[Længde svejsning]]</f>
        <v>660.00000000000011</v>
      </c>
      <c r="X63">
        <f>Tabel313[[#This Row],[Forbrug (WH)]]/Tabel313[[#This Row],[Vol svejsning mm]]</f>
        <v>0.10757575757575756</v>
      </c>
    </row>
    <row r="64" spans="3:26" x14ac:dyDescent="0.35">
      <c r="C64" t="s">
        <v>57</v>
      </c>
      <c r="D64">
        <v>4</v>
      </c>
      <c r="E64" t="s">
        <v>53</v>
      </c>
      <c r="F64" t="s">
        <v>73</v>
      </c>
      <c r="G64">
        <v>165</v>
      </c>
      <c r="H64" t="s">
        <v>48</v>
      </c>
      <c r="I64">
        <v>4</v>
      </c>
      <c r="J64">
        <v>27</v>
      </c>
      <c r="K64">
        <v>90</v>
      </c>
      <c r="M64" t="s">
        <v>61</v>
      </c>
      <c r="N64" t="s">
        <v>62</v>
      </c>
      <c r="O64">
        <v>2.5</v>
      </c>
      <c r="P64" t="s">
        <v>74</v>
      </c>
      <c r="R64">
        <v>65</v>
      </c>
      <c r="S64">
        <f>Tabel313[[#This Row],[Forbrug (WH)]]/Tabel313[[#This Row],[Længde svejsning]]</f>
        <v>0.39393939393939392</v>
      </c>
      <c r="T64">
        <v>77</v>
      </c>
      <c r="U64">
        <f t="shared" si="9"/>
        <v>0.8441558441558441</v>
      </c>
      <c r="V64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64">
        <f>Tabel313[[#This Row],[Areal snit]]*Tabel313[[#This Row],[Længde svejsning]]</f>
        <v>660.00000000000011</v>
      </c>
      <c r="X64">
        <f>Tabel313[[#This Row],[Forbrug (WH)]]/Tabel313[[#This Row],[Vol svejsning mm]]</f>
        <v>9.8484848484848467E-2</v>
      </c>
    </row>
    <row r="65" spans="3:24" x14ac:dyDescent="0.35">
      <c r="C65" t="s">
        <v>57</v>
      </c>
      <c r="D65">
        <v>5</v>
      </c>
      <c r="E65" t="s">
        <v>53</v>
      </c>
      <c r="F65" t="s">
        <v>73</v>
      </c>
      <c r="G65">
        <v>165</v>
      </c>
      <c r="H65" t="s">
        <v>48</v>
      </c>
      <c r="I65">
        <v>4</v>
      </c>
      <c r="J65">
        <v>27</v>
      </c>
      <c r="K65">
        <v>90</v>
      </c>
      <c r="M65" t="s">
        <v>61</v>
      </c>
      <c r="N65" t="s">
        <v>62</v>
      </c>
      <c r="O65">
        <v>2.5</v>
      </c>
      <c r="P65" t="s">
        <v>74</v>
      </c>
      <c r="R65">
        <v>67</v>
      </c>
      <c r="S65">
        <f>Tabel313[[#This Row],[Forbrug (WH)]]/Tabel313[[#This Row],[Længde svejsning]]</f>
        <v>0.40606060606060607</v>
      </c>
      <c r="T65">
        <v>83</v>
      </c>
      <c r="U65">
        <f t="shared" si="9"/>
        <v>0.80722891566265065</v>
      </c>
      <c r="V65">
        <f>((SQRT((POWER((Tabel313[[#This Row],[A mål]]/2),2)+(POWER((Tabel313[[#This Row],[A mål]]/2),2)))))*(SQRT((POWER((Tabel313[[#This Row],[A mål]]/2),2)+(POWER((Tabel313[[#This Row],[A mål]]/2),2))))))/2</f>
        <v>4.0000000000000009</v>
      </c>
      <c r="W65">
        <f>Tabel313[[#This Row],[Areal snit]]*Tabel313[[#This Row],[Længde svejsning]]</f>
        <v>660.00000000000011</v>
      </c>
      <c r="X65">
        <f>Tabel313[[#This Row],[Forbrug (WH)]]/Tabel313[[#This Row],[Vol svejsning mm]]</f>
        <v>0.1015151515151515</v>
      </c>
    </row>
    <row r="66" spans="3:24" x14ac:dyDescent="0.35">
      <c r="C66" t="s">
        <v>57</v>
      </c>
      <c r="D66" s="6" t="s">
        <v>58</v>
      </c>
      <c r="E66" s="2" t="s">
        <v>53</v>
      </c>
      <c r="F66" s="2"/>
      <c r="G66" s="2">
        <v>330</v>
      </c>
      <c r="H66" s="2" t="s">
        <v>48</v>
      </c>
      <c r="I66" s="2"/>
      <c r="J66" s="2"/>
      <c r="K66" s="2"/>
      <c r="L66" s="2"/>
      <c r="M66" s="2" t="s">
        <v>61</v>
      </c>
      <c r="N66" s="2" t="s">
        <v>62</v>
      </c>
      <c r="O66" s="2"/>
      <c r="P66" s="2"/>
      <c r="Q66" s="2"/>
      <c r="R66" s="2">
        <f>(R61+R62+R63+R64+R65)/5</f>
        <v>67.2</v>
      </c>
      <c r="S66" s="2">
        <f>Tabel313[[#This Row],[Forbrug (WH)]]/Tabel313[[#This Row],[Længde svejsning]]</f>
        <v>0.20363636363636364</v>
      </c>
      <c r="T66" s="2">
        <f>(T61+T62+T63+T64+T65)/5</f>
        <v>81.400000000000006</v>
      </c>
      <c r="U66" s="2">
        <f>(U61+U62+U63+U64+U65)/5</f>
        <v>0.82620848956190307</v>
      </c>
      <c r="V66" s="2">
        <f>((SQRT((POWER((Tabel313[[#This Row],[A mål]]/2),2)+(POWER((Tabel313[[#This Row],[A mål]]/2),2)))))*(SQRT((POWER((Tabel313[[#This Row],[A mål]]/2),2)+(POWER((Tabel313[[#This Row],[A mål]]/2),2))))))/2</f>
        <v>0</v>
      </c>
      <c r="W66" s="2">
        <f>Tabel313[[#This Row],[Areal snit]]*Tabel313[[#This Row],[Længde svejsning]]</f>
        <v>0</v>
      </c>
      <c r="X66" s="2" t="e">
        <f>Tabel313[[#This Row],[Forbrug (WH)]]/Tabel313[[#This Row],[Vol svejsning mm]]</f>
        <v>#DIV/0!</v>
      </c>
    </row>
    <row r="67" spans="3:24" x14ac:dyDescent="0.35">
      <c r="S67" t="e">
        <f>Tabel313[[#This Row],[Forbrug (WH)]]/Tabel313[[#This Row],[Længde svejsning]]</f>
        <v>#DIV/0!</v>
      </c>
    </row>
    <row r="68" spans="3:24" x14ac:dyDescent="0.35">
      <c r="S68" t="e">
        <f>Tabel313[[#This Row],[Forbrug (WH)]]/Tabel313[[#This Row],[Længde svejsning]]</f>
        <v>#DIV/0!</v>
      </c>
    </row>
    <row r="69" spans="3:24" x14ac:dyDescent="0.35">
      <c r="S69" t="e">
        <f>Tabel313[[#This Row],[Forbrug (WH)]]/Tabel313[[#This Row],[Længde svejsning]]</f>
        <v>#DIV/0!</v>
      </c>
    </row>
    <row r="70" spans="3:24" x14ac:dyDescent="0.35">
      <c r="S70" t="e">
        <f>Tabel313[[#This Row],[Forbrug (WH)]]/Tabel313[[#This Row],[Længde svejsning]]</f>
        <v>#DIV/0!</v>
      </c>
    </row>
    <row r="71" spans="3:24" x14ac:dyDescent="0.35">
      <c r="S71" t="e">
        <f>Tabel313[[#This Row],[Forbrug (WH)]]/Tabel313[[#This Row],[Længde svejsning]]</f>
        <v>#DIV/0!</v>
      </c>
    </row>
    <row r="72" spans="3:24" x14ac:dyDescent="0.35">
      <c r="S72" t="e">
        <f>Tabel313[[#This Row],[Forbrug (WH)]]/Tabel313[[#This Row],[Længde svejsning]]</f>
        <v>#DIV/0!</v>
      </c>
    </row>
    <row r="73" spans="3:24" x14ac:dyDescent="0.35">
      <c r="S73" t="e">
        <f>Tabel313[[#This Row],[Forbrug (WH)]]/Tabel313[[#This Row],[Længde svejsning]]</f>
        <v>#DIV/0!</v>
      </c>
    </row>
    <row r="74" spans="3:24" x14ac:dyDescent="0.35">
      <c r="S74" t="e">
        <f>Tabel313[[#This Row],[Forbrug (WH)]]/Tabel313[[#This Row],[Længde svejsning]]</f>
        <v>#DIV/0!</v>
      </c>
    </row>
    <row r="75" spans="3:24" x14ac:dyDescent="0.35">
      <c r="S75" t="e">
        <f>Tabel313[[#This Row],[Forbrug (WH)]]/Tabel313[[#This Row],[Længde svejsning]]</f>
        <v>#DIV/0!</v>
      </c>
    </row>
    <row r="76" spans="3:24" x14ac:dyDescent="0.35">
      <c r="S76" t="e">
        <f>Tabel313[[#This Row],[Forbrug (WH)]]/Tabel313[[#This Row],[Længde svejsning]]</f>
        <v>#DIV/0!</v>
      </c>
    </row>
    <row r="77" spans="3:24" x14ac:dyDescent="0.35">
      <c r="S77" t="e">
        <f>Tabel313[[#This Row],[Forbrug (WH)]]/Tabel313[[#This Row],[Længde svejsning]]</f>
        <v>#DIV/0!</v>
      </c>
    </row>
    <row r="78" spans="3:24" x14ac:dyDescent="0.35">
      <c r="S78" t="e">
        <f>Tabel313[[#This Row],[Forbrug (WH)]]/Tabel313[[#This Row],[Længde svejsning]]</f>
        <v>#DIV/0!</v>
      </c>
    </row>
    <row r="79" spans="3:24" x14ac:dyDescent="0.35">
      <c r="S79" t="e">
        <f>Tabel313[[#This Row],[Forbrug (WH)]]/Tabel313[[#This Row],[Længde svejsning]]</f>
        <v>#DIV/0!</v>
      </c>
    </row>
    <row r="80" spans="3:24" x14ac:dyDescent="0.35">
      <c r="S80" t="e">
        <f>Tabel313[[#This Row],[Forbrug (WH)]]/Tabel313[[#This Row],[Længde svejsning]]</f>
        <v>#DIV/0!</v>
      </c>
    </row>
    <row r="81" spans="19:19" x14ac:dyDescent="0.35">
      <c r="S81" t="e">
        <f>Tabel313[[#This Row],[Forbrug (WH)]]/Tabel313[[#This Row],[Længde svejsning]]</f>
        <v>#DIV/0!</v>
      </c>
    </row>
    <row r="82" spans="19:19" x14ac:dyDescent="0.35">
      <c r="S82" t="e">
        <f>Tabel313[[#This Row],[Forbrug (WH)]]/Tabel313[[#This Row],[Længde svejsning]]</f>
        <v>#DIV/0!</v>
      </c>
    </row>
    <row r="83" spans="19:19" x14ac:dyDescent="0.35">
      <c r="S83" t="e">
        <f>Tabel313[[#This Row],[Forbrug (WH)]]/Tabel313[[#This Row],[Længde svejsning]]</f>
        <v>#DIV/0!</v>
      </c>
    </row>
    <row r="84" spans="19:19" x14ac:dyDescent="0.35">
      <c r="S84" t="e">
        <f>Tabel313[[#This Row],[Forbrug (WH)]]/Tabel313[[#This Row],[Længde svejsning]]</f>
        <v>#DIV/0!</v>
      </c>
    </row>
    <row r="85" spans="19:19" x14ac:dyDescent="0.35">
      <c r="S85" t="e">
        <f>Tabel313[[#This Row],[Forbrug (WH)]]/Tabel313[[#This Row],[Længde svejsning]]</f>
        <v>#DIV/0!</v>
      </c>
    </row>
    <row r="86" spans="19:19" x14ac:dyDescent="0.35">
      <c r="S86" t="e">
        <f>Tabel313[[#This Row],[Forbrug (WH)]]/Tabel313[[#This Row],[Længde svejsning]]</f>
        <v>#DIV/0!</v>
      </c>
    </row>
    <row r="87" spans="19:19" x14ac:dyDescent="0.35">
      <c r="S87" t="e">
        <f>Tabel313[[#This Row],[Forbrug (WH)]]/Tabel313[[#This Row],[Længde svejsning]]</f>
        <v>#DIV/0!</v>
      </c>
    </row>
    <row r="88" spans="19:19" x14ac:dyDescent="0.35">
      <c r="S88" t="e">
        <f>Tabel313[[#This Row],[Forbrug (WH)]]/Tabel313[[#This Row],[Længde svejsning]]</f>
        <v>#DIV/0!</v>
      </c>
    </row>
    <row r="89" spans="19:19" x14ac:dyDescent="0.35">
      <c r="S89" t="e">
        <f>Tabel313[[#This Row],[Forbrug (WH)]]/Tabel313[[#This Row],[Længde svejsning]]</f>
        <v>#DIV/0!</v>
      </c>
    </row>
  </sheetData>
  <mergeCells count="2">
    <mergeCell ref="AA3:AD3"/>
    <mergeCell ref="AA31:AD31"/>
  </mergeCells>
  <phoneticPr fontId="2" type="noConversion"/>
  <pageMargins left="0.7" right="0.7" top="0.75" bottom="0.75" header="0.3" footer="0.3"/>
  <drawing r:id="rId1"/>
  <legacyDrawing r:id="rId2"/>
  <tableParts count="3"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6D89D-D58B-46AC-A598-0F1298EAA1A0}">
  <sheetPr codeName="Ark3"/>
  <dimension ref="C1:P34"/>
  <sheetViews>
    <sheetView workbookViewId="0">
      <selection activeCell="F55" sqref="F55"/>
    </sheetView>
  </sheetViews>
  <sheetFormatPr defaultRowHeight="14.5" x14ac:dyDescent="0.35"/>
  <cols>
    <col min="7" max="7" width="12" bestFit="1" customWidth="1"/>
  </cols>
  <sheetData>
    <row r="1" spans="3:16" x14ac:dyDescent="0.35">
      <c r="C1" s="44" t="s">
        <v>75</v>
      </c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32" spans="7:7" x14ac:dyDescent="0.35">
      <c r="G32">
        <f>76-65</f>
        <v>11</v>
      </c>
    </row>
    <row r="33" spans="7:7" x14ac:dyDescent="0.35">
      <c r="G33">
        <f>100/65</f>
        <v>1.5384615384615385</v>
      </c>
    </row>
    <row r="34" spans="7:7" x14ac:dyDescent="0.35">
      <c r="G34">
        <f>G33*G32</f>
        <v>16.923076923076923</v>
      </c>
    </row>
  </sheetData>
  <mergeCells count="1">
    <mergeCell ref="C1:P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6CBFB-B2FC-4B08-9625-56522643E7B1}">
  <sheetPr codeName="Ark4"/>
  <dimension ref="A1:U35"/>
  <sheetViews>
    <sheetView zoomScale="70" zoomScaleNormal="70" workbookViewId="0">
      <selection activeCell="L44" sqref="L44"/>
    </sheetView>
  </sheetViews>
  <sheetFormatPr defaultRowHeight="14.5" x14ac:dyDescent="0.35"/>
  <cols>
    <col min="1" max="1" width="8.7265625" bestFit="1" customWidth="1"/>
    <col min="2" max="2" width="20.26953125" bestFit="1" customWidth="1"/>
    <col min="3" max="3" width="20" bestFit="1" customWidth="1"/>
    <col min="4" max="4" width="17.81640625" customWidth="1"/>
    <col min="5" max="5" width="15.7265625" customWidth="1"/>
    <col min="6" max="6" width="7.453125" customWidth="1"/>
    <col min="7" max="7" width="14.453125" customWidth="1"/>
    <col min="8" max="8" width="17.7265625" bestFit="1" customWidth="1"/>
    <col min="9" max="9" width="22.1796875" bestFit="1" customWidth="1"/>
    <col min="10" max="10" width="6.1796875" customWidth="1"/>
    <col min="11" max="11" width="22.1796875" customWidth="1"/>
    <col min="12" max="12" width="15.26953125" customWidth="1"/>
    <col min="13" max="13" width="9.453125" customWidth="1"/>
    <col min="14" max="14" width="13.7265625" bestFit="1" customWidth="1"/>
    <col min="15" max="15" width="20.54296875" bestFit="1" customWidth="1"/>
    <col min="16" max="16" width="20.54296875" customWidth="1"/>
    <col min="18" max="18" width="12" bestFit="1" customWidth="1"/>
    <col min="19" max="19" width="14.7265625" bestFit="1" customWidth="1"/>
    <col min="20" max="20" width="18.1796875" bestFit="1" customWidth="1"/>
    <col min="21" max="21" width="16.81640625" bestFit="1" customWidth="1"/>
  </cols>
  <sheetData>
    <row r="1" spans="1:21" ht="14.5" customHeight="1" x14ac:dyDescent="0.35">
      <c r="C1" s="45" t="s">
        <v>76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3"/>
    </row>
    <row r="2" spans="1:21" ht="23.5" x14ac:dyDescent="0.3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3"/>
    </row>
    <row r="4" spans="1:21" x14ac:dyDescent="0.35">
      <c r="A4" t="s">
        <v>21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 t="s">
        <v>41</v>
      </c>
    </row>
    <row r="5" spans="1:21" x14ac:dyDescent="0.35">
      <c r="A5" s="1">
        <v>1</v>
      </c>
      <c r="B5" s="1" t="s">
        <v>77</v>
      </c>
      <c r="C5" s="1" t="s">
        <v>47</v>
      </c>
      <c r="D5" s="1">
        <v>330</v>
      </c>
      <c r="E5" s="1" t="s">
        <v>48</v>
      </c>
      <c r="F5" s="1">
        <v>3</v>
      </c>
      <c r="G5" s="1">
        <v>20</v>
      </c>
      <c r="H5" s="1">
        <v>130</v>
      </c>
      <c r="I5" s="1">
        <v>8</v>
      </c>
      <c r="J5" s="1" t="s">
        <v>49</v>
      </c>
      <c r="K5" s="1" t="s">
        <v>50</v>
      </c>
      <c r="L5" s="1">
        <v>0.8</v>
      </c>
      <c r="M5" s="1" t="s">
        <v>51</v>
      </c>
      <c r="N5" s="1">
        <v>12</v>
      </c>
      <c r="O5" s="1">
        <v>72</v>
      </c>
      <c r="P5" s="1">
        <f>Tabel1[[#This Row],[Forbrug (WH)]]/Tabel1[[#This Row],[Længde svejsning]]</f>
        <v>0.21818181818181817</v>
      </c>
      <c r="Q5" s="1"/>
      <c r="R5" s="1"/>
      <c r="S5" s="1">
        <f>((SQRT((POWER((Tabel1[[#This Row],[A mål]]/2),2)+(POWER((Tabel1[[#This Row],[A mål]]/2),2)))))*(SQRT((POWER((Tabel1[[#This Row],[A mål]]/2),2)+(POWER((Tabel1[[#This Row],[A mål]]/2),2))))))/2</f>
        <v>2.2499999999999996</v>
      </c>
      <c r="T5" s="1">
        <f>Tabel1[[#This Row],[Areal snit]]*Tabel1[[#This Row],[Længde svejsning]]</f>
        <v>742.49999999999989</v>
      </c>
      <c r="U5" s="1">
        <f>Tabel1[[#This Row],[Forbrug (WH)]]/Tabel1[[#This Row],[Vol svejsning mm]]</f>
        <v>9.6969696969696983E-2</v>
      </c>
    </row>
    <row r="6" spans="1:21" x14ac:dyDescent="0.35">
      <c r="A6" s="1">
        <v>2</v>
      </c>
      <c r="B6" s="1" t="s">
        <v>77</v>
      </c>
      <c r="C6" s="1" t="s">
        <v>47</v>
      </c>
      <c r="D6" s="1">
        <v>330</v>
      </c>
      <c r="E6" s="1" t="s">
        <v>48</v>
      </c>
      <c r="F6" s="1">
        <v>3</v>
      </c>
      <c r="G6" s="1">
        <v>20</v>
      </c>
      <c r="H6" s="1">
        <v>130</v>
      </c>
      <c r="I6" s="1">
        <v>8</v>
      </c>
      <c r="J6" s="1" t="s">
        <v>49</v>
      </c>
      <c r="K6" s="1" t="s">
        <v>50</v>
      </c>
      <c r="L6" s="1">
        <v>0.8</v>
      </c>
      <c r="M6" s="1" t="s">
        <v>51</v>
      </c>
      <c r="N6" s="1">
        <v>12</v>
      </c>
      <c r="O6" s="1">
        <v>65.400000000000006</v>
      </c>
      <c r="P6" s="1">
        <f>Tabel1[[#This Row],[Forbrug (WH)]]/Tabel1[[#This Row],[Længde svejsning]]</f>
        <v>0.19818181818181821</v>
      </c>
      <c r="Q6" s="1">
        <v>73</v>
      </c>
      <c r="R6" s="1">
        <f t="shared" ref="R6:R11" si="0">O6/Q6</f>
        <v>0.8958904109589042</v>
      </c>
      <c r="S6" s="1">
        <f>((SQRT((POWER((Tabel1[[#This Row],[A mål]]/2),2)+(POWER((Tabel1[[#This Row],[A mål]]/2),2)))))*(SQRT((POWER((Tabel1[[#This Row],[A mål]]/2),2)+(POWER((Tabel1[[#This Row],[A mål]]/2),2))))))/2</f>
        <v>2.2499999999999996</v>
      </c>
      <c r="T6" s="1">
        <f>Tabel1[[#This Row],[Areal snit]]*Tabel1[[#This Row],[Længde svejsning]]</f>
        <v>742.49999999999989</v>
      </c>
      <c r="U6" s="1">
        <f>Tabel1[[#This Row],[Forbrug (WH)]]/Tabel1[[#This Row],[Vol svejsning mm]]</f>
        <v>8.8080808080808107E-2</v>
      </c>
    </row>
    <row r="7" spans="1:21" x14ac:dyDescent="0.35">
      <c r="A7">
        <v>3</v>
      </c>
      <c r="B7" t="s">
        <v>77</v>
      </c>
      <c r="C7" t="s">
        <v>47</v>
      </c>
      <c r="D7">
        <v>330</v>
      </c>
      <c r="E7" t="s">
        <v>48</v>
      </c>
      <c r="F7">
        <v>3</v>
      </c>
      <c r="G7">
        <v>22.2</v>
      </c>
      <c r="H7">
        <v>130</v>
      </c>
      <c r="I7">
        <v>9.9</v>
      </c>
      <c r="J7" t="s">
        <v>49</v>
      </c>
      <c r="K7" t="s">
        <v>50</v>
      </c>
      <c r="L7">
        <v>0.8</v>
      </c>
      <c r="M7" t="s">
        <v>51</v>
      </c>
      <c r="N7">
        <v>12</v>
      </c>
      <c r="O7">
        <v>64.400000000000006</v>
      </c>
      <c r="P7">
        <f>Tabel1[[#This Row],[Forbrug (WH)]]/Tabel1[[#This Row],[Længde svejsning]]</f>
        <v>0.19515151515151516</v>
      </c>
      <c r="Q7">
        <v>61</v>
      </c>
      <c r="R7">
        <f t="shared" si="0"/>
        <v>1.055737704918033</v>
      </c>
      <c r="S7">
        <f>((SQRT((POWER((Tabel1[[#This Row],[A mål]]/2),2)+(POWER((Tabel1[[#This Row],[A mål]]/2),2)))))*(SQRT((POWER((Tabel1[[#This Row],[A mål]]/2),2)+(POWER((Tabel1[[#This Row],[A mål]]/2),2))))))/2</f>
        <v>2.2499999999999996</v>
      </c>
      <c r="T7">
        <f>Tabel1[[#This Row],[Areal snit]]*Tabel1[[#This Row],[Længde svejsning]]</f>
        <v>742.49999999999989</v>
      </c>
      <c r="U7">
        <f>Tabel1[[#This Row],[Forbrug (WH)]]/Tabel1[[#This Row],[Vol svejsning mm]]</f>
        <v>8.6734006734006761E-2</v>
      </c>
    </row>
    <row r="8" spans="1:21" x14ac:dyDescent="0.35">
      <c r="A8">
        <v>4</v>
      </c>
      <c r="B8" t="s">
        <v>77</v>
      </c>
      <c r="C8" t="s">
        <v>47</v>
      </c>
      <c r="D8">
        <v>330</v>
      </c>
      <c r="E8" t="s">
        <v>48</v>
      </c>
      <c r="F8">
        <v>3</v>
      </c>
      <c r="G8">
        <v>22.2</v>
      </c>
      <c r="H8">
        <v>130</v>
      </c>
      <c r="I8">
        <v>9.9</v>
      </c>
      <c r="J8" t="s">
        <v>49</v>
      </c>
      <c r="K8" t="s">
        <v>50</v>
      </c>
      <c r="L8">
        <v>0.8</v>
      </c>
      <c r="M8" t="s">
        <v>51</v>
      </c>
      <c r="N8">
        <v>12</v>
      </c>
      <c r="O8">
        <v>57.35</v>
      </c>
      <c r="P8">
        <f>Tabel1[[#This Row],[Forbrug (WH)]]/Tabel1[[#This Row],[Længde svejsning]]</f>
        <v>0.1737878787878788</v>
      </c>
      <c r="Q8">
        <v>55</v>
      </c>
      <c r="R8">
        <f t="shared" si="0"/>
        <v>1.0427272727272727</v>
      </c>
      <c r="S8">
        <f>((SQRT((POWER((Tabel1[[#This Row],[A mål]]/2),2)+(POWER((Tabel1[[#This Row],[A mål]]/2),2)))))*(SQRT((POWER((Tabel1[[#This Row],[A mål]]/2),2)+(POWER((Tabel1[[#This Row],[A mål]]/2),2))))))/2</f>
        <v>2.2499999999999996</v>
      </c>
      <c r="T8">
        <f>Tabel1[[#This Row],[Areal snit]]*Tabel1[[#This Row],[Længde svejsning]]</f>
        <v>742.49999999999989</v>
      </c>
      <c r="U8">
        <f>Tabel1[[#This Row],[Forbrug (WH)]]/Tabel1[[#This Row],[Vol svejsning mm]]</f>
        <v>7.7239057239057246E-2</v>
      </c>
    </row>
    <row r="9" spans="1:21" x14ac:dyDescent="0.35">
      <c r="A9">
        <v>5</v>
      </c>
      <c r="B9" t="s">
        <v>77</v>
      </c>
      <c r="C9" t="s">
        <v>47</v>
      </c>
      <c r="D9">
        <v>330</v>
      </c>
      <c r="E9" t="s">
        <v>48</v>
      </c>
      <c r="F9">
        <v>3</v>
      </c>
      <c r="G9">
        <v>22.2</v>
      </c>
      <c r="H9">
        <v>130</v>
      </c>
      <c r="I9">
        <v>9.9</v>
      </c>
      <c r="J9" t="s">
        <v>49</v>
      </c>
      <c r="K9" t="s">
        <v>50</v>
      </c>
      <c r="L9">
        <v>0.8</v>
      </c>
      <c r="M9" t="s">
        <v>51</v>
      </c>
      <c r="N9">
        <v>12</v>
      </c>
      <c r="O9">
        <v>76</v>
      </c>
      <c r="P9">
        <f>Tabel1[[#This Row],[Forbrug (WH)]]/Tabel1[[#This Row],[Længde svejsning]]</f>
        <v>0.23030303030303031</v>
      </c>
      <c r="Q9">
        <v>71</v>
      </c>
      <c r="R9">
        <f t="shared" si="0"/>
        <v>1.0704225352112675</v>
      </c>
      <c r="S9">
        <f>((SQRT((POWER((Tabel1[[#This Row],[A mål]]/2),2)+(POWER((Tabel1[[#This Row],[A mål]]/2),2)))))*(SQRT((POWER((Tabel1[[#This Row],[A mål]]/2),2)+(POWER((Tabel1[[#This Row],[A mål]]/2),2))))))/2</f>
        <v>2.2499999999999996</v>
      </c>
      <c r="T9">
        <f>Tabel1[[#This Row],[Areal snit]]*Tabel1[[#This Row],[Længde svejsning]]</f>
        <v>742.49999999999989</v>
      </c>
      <c r="U9">
        <f>Tabel1[[#This Row],[Forbrug (WH)]]/Tabel1[[#This Row],[Vol svejsning mm]]</f>
        <v>0.10235690235690237</v>
      </c>
    </row>
    <row r="10" spans="1:21" x14ac:dyDescent="0.35">
      <c r="A10">
        <v>6</v>
      </c>
      <c r="B10" t="s">
        <v>77</v>
      </c>
      <c r="C10" t="s">
        <v>47</v>
      </c>
      <c r="D10">
        <v>330</v>
      </c>
      <c r="E10" t="s">
        <v>48</v>
      </c>
      <c r="F10">
        <v>3</v>
      </c>
      <c r="G10">
        <v>22.2</v>
      </c>
      <c r="H10">
        <v>130</v>
      </c>
      <c r="I10">
        <v>9.9</v>
      </c>
      <c r="J10" t="s">
        <v>49</v>
      </c>
      <c r="K10" t="s">
        <v>50</v>
      </c>
      <c r="L10">
        <v>0.8</v>
      </c>
      <c r="M10" t="s">
        <v>51</v>
      </c>
      <c r="N10">
        <v>12</v>
      </c>
      <c r="O10">
        <v>67</v>
      </c>
      <c r="P10">
        <f>Tabel1[[#This Row],[Forbrug (WH)]]/Tabel1[[#This Row],[Længde svejsning]]</f>
        <v>0.20303030303030303</v>
      </c>
      <c r="Q10">
        <v>63</v>
      </c>
      <c r="R10">
        <f t="shared" si="0"/>
        <v>1.0634920634920635</v>
      </c>
      <c r="S10">
        <f>((SQRT((POWER((Tabel1[[#This Row],[A mål]]/2),2)+(POWER((Tabel1[[#This Row],[A mål]]/2),2)))))*(SQRT((POWER((Tabel1[[#This Row],[A mål]]/2),2)+(POWER((Tabel1[[#This Row],[A mål]]/2),2))))))/2</f>
        <v>2.2499999999999996</v>
      </c>
      <c r="T10">
        <f>Tabel1[[#This Row],[Areal snit]]*Tabel1[[#This Row],[Længde svejsning]]</f>
        <v>742.49999999999989</v>
      </c>
      <c r="U10">
        <f>Tabel1[[#This Row],[Forbrug (WH)]]/Tabel1[[#This Row],[Vol svejsning mm]]</f>
        <v>9.0235690235690252E-2</v>
      </c>
    </row>
    <row r="11" spans="1:21" x14ac:dyDescent="0.35">
      <c r="A11">
        <v>7</v>
      </c>
      <c r="B11" t="s">
        <v>77</v>
      </c>
      <c r="C11" t="s">
        <v>47</v>
      </c>
      <c r="D11">
        <v>330</v>
      </c>
      <c r="E11" t="s">
        <v>48</v>
      </c>
      <c r="F11">
        <v>3</v>
      </c>
      <c r="G11">
        <v>22.2</v>
      </c>
      <c r="H11">
        <v>130</v>
      </c>
      <c r="I11">
        <v>9.9</v>
      </c>
      <c r="J11" t="s">
        <v>49</v>
      </c>
      <c r="K11" t="s">
        <v>50</v>
      </c>
      <c r="L11">
        <v>0.8</v>
      </c>
      <c r="M11" t="s">
        <v>51</v>
      </c>
      <c r="N11">
        <v>12</v>
      </c>
      <c r="O11">
        <v>65.3</v>
      </c>
      <c r="P11">
        <f>Tabel1[[#This Row],[Forbrug (WH)]]/Tabel1[[#This Row],[Længde svejsning]]</f>
        <v>0.19787878787878788</v>
      </c>
      <c r="Q11">
        <v>61</v>
      </c>
      <c r="R11">
        <f t="shared" si="0"/>
        <v>1.0704918032786885</v>
      </c>
      <c r="S11">
        <f>((SQRT((POWER((Tabel1[[#This Row],[A mål]]/2),2)+(POWER((Tabel1[[#This Row],[A mål]]/2),2)))))*(SQRT((POWER((Tabel1[[#This Row],[A mål]]/2),2)+(POWER((Tabel1[[#This Row],[A mål]]/2),2))))))/2</f>
        <v>2.2499999999999996</v>
      </c>
      <c r="T11">
        <f>Tabel1[[#This Row],[Areal snit]]*Tabel1[[#This Row],[Længde svejsning]]</f>
        <v>742.49999999999989</v>
      </c>
      <c r="U11">
        <f>Tabel1[[#This Row],[Forbrug (WH)]]/Tabel1[[#This Row],[Vol svejsning mm]]</f>
        <v>8.7946127946127953E-2</v>
      </c>
    </row>
    <row r="12" spans="1:21" x14ac:dyDescent="0.35">
      <c r="A12" s="2" t="s">
        <v>58</v>
      </c>
      <c r="B12" s="2" t="s">
        <v>77</v>
      </c>
      <c r="C12" s="2" t="s">
        <v>47</v>
      </c>
      <c r="D12" s="2">
        <v>330</v>
      </c>
      <c r="E12" s="2" t="s">
        <v>48</v>
      </c>
      <c r="F12" s="2">
        <v>3</v>
      </c>
      <c r="G12" s="2">
        <v>22.2</v>
      </c>
      <c r="H12" s="2">
        <v>130</v>
      </c>
      <c r="I12" s="2">
        <v>9.9</v>
      </c>
      <c r="J12" s="2" t="s">
        <v>49</v>
      </c>
      <c r="K12" s="2" t="s">
        <v>50</v>
      </c>
      <c r="L12" s="2">
        <v>0.8</v>
      </c>
      <c r="M12" s="2" t="s">
        <v>51</v>
      </c>
      <c r="N12" s="2">
        <v>12</v>
      </c>
      <c r="O12" s="2">
        <f>(O7+O8+O9+O10+O11)/5</f>
        <v>66.010000000000005</v>
      </c>
      <c r="P12" s="2">
        <f>Tabel1[[#This Row],[Forbrug (WH)]]/Tabel1[[#This Row],[Længde svejsning]]</f>
        <v>0.20003030303030306</v>
      </c>
      <c r="Q12" s="2">
        <f>(Q7+Q8+Q9+Q10+Q11)/5</f>
        <v>62.2</v>
      </c>
      <c r="R12" s="2">
        <f>(R7+R8+R9+R10+R11)/5</f>
        <v>1.060574275925465</v>
      </c>
      <c r="S12" s="2">
        <f>((SQRT((POWER((Tabel1[[#This Row],[A mål]]/2),2)+(POWER((Tabel1[[#This Row],[A mål]]/2),2)))))*(SQRT((POWER((Tabel1[[#This Row],[A mål]]/2),2)+(POWER((Tabel1[[#This Row],[A mål]]/2),2))))))/2</f>
        <v>2.2499999999999996</v>
      </c>
      <c r="T12" s="2">
        <f>Tabel1[[#This Row],[Areal snit]]*Tabel1[[#This Row],[Længde svejsning]]</f>
        <v>742.49999999999989</v>
      </c>
      <c r="U12" s="2">
        <f>Tabel1[[#This Row],[Forbrug (WH)]]/Tabel1[[#This Row],[Vol svejsning mm]]</f>
        <v>8.8902356902356927E-2</v>
      </c>
    </row>
    <row r="13" spans="1:21" x14ac:dyDescent="0.35">
      <c r="S13">
        <f>((SQRT((POWER((Tabel1[[#This Row],[A mål]]/2),2)+(POWER((Tabel1[[#This Row],[A mål]]/2),2)))))*(SQRT((POWER((Tabel1[[#This Row],[A mål]]/2),2)+(POWER((Tabel1[[#This Row],[A mål]]/2),2))))))/2</f>
        <v>0</v>
      </c>
      <c r="T13">
        <f>Tabel1[[#This Row],[Areal snit]]*Tabel1[[#This Row],[Længde svejsning]]</f>
        <v>0</v>
      </c>
    </row>
    <row r="14" spans="1:21" x14ac:dyDescent="0.35">
      <c r="A14">
        <v>8</v>
      </c>
      <c r="B14" t="s">
        <v>77</v>
      </c>
      <c r="C14" t="s">
        <v>59</v>
      </c>
      <c r="D14">
        <v>330</v>
      </c>
      <c r="E14" t="s">
        <v>48</v>
      </c>
      <c r="F14">
        <v>5</v>
      </c>
      <c r="G14">
        <v>26.4</v>
      </c>
      <c r="H14">
        <v>175</v>
      </c>
      <c r="I14">
        <v>13.2</v>
      </c>
      <c r="J14" t="s">
        <v>49</v>
      </c>
      <c r="K14" t="s">
        <v>50</v>
      </c>
      <c r="L14">
        <v>0.8</v>
      </c>
      <c r="M14" t="s">
        <v>51</v>
      </c>
      <c r="N14">
        <v>12</v>
      </c>
      <c r="O14">
        <v>113.6</v>
      </c>
      <c r="P14">
        <f>Tabel1[[#This Row],[Forbrug (WH)]]/Tabel1[[#This Row],[Længde svejsning]]</f>
        <v>0.34424242424242424</v>
      </c>
      <c r="Q14">
        <v>76</v>
      </c>
      <c r="R14">
        <f t="shared" ref="R14:R18" si="1">O14/Q14</f>
        <v>1.4947368421052631</v>
      </c>
      <c r="S14">
        <f>((SQRT((POWER((Tabel1[[#This Row],[A mål]]/2),2)+(POWER((Tabel1[[#This Row],[A mål]]/2),2)))))*(SQRT((POWER((Tabel1[[#This Row],[A mål]]/2),2)+(POWER((Tabel1[[#This Row],[A mål]]/2),2))))))/2</f>
        <v>6.2500000000000009</v>
      </c>
      <c r="T14">
        <f>Tabel1[[#This Row],[Areal snit]]*Tabel1[[#This Row],[Længde svejsning]]</f>
        <v>2062.5000000000005</v>
      </c>
      <c r="U14">
        <f>Tabel1[[#This Row],[Forbrug (WH)]]/Tabel1[[#This Row],[Vol svejsning mm]]</f>
        <v>5.5078787878787866E-2</v>
      </c>
    </row>
    <row r="15" spans="1:21" x14ac:dyDescent="0.35">
      <c r="A15">
        <v>9</v>
      </c>
      <c r="B15" t="s">
        <v>77</v>
      </c>
      <c r="C15" t="s">
        <v>59</v>
      </c>
      <c r="D15">
        <v>330</v>
      </c>
      <c r="E15" t="s">
        <v>48</v>
      </c>
      <c r="F15">
        <v>5</v>
      </c>
      <c r="G15">
        <v>26.4</v>
      </c>
      <c r="H15">
        <v>175</v>
      </c>
      <c r="I15">
        <v>13.2</v>
      </c>
      <c r="J15" t="s">
        <v>49</v>
      </c>
      <c r="K15" t="s">
        <v>50</v>
      </c>
      <c r="L15">
        <v>0.8</v>
      </c>
      <c r="M15" t="s">
        <v>51</v>
      </c>
      <c r="N15">
        <v>12</v>
      </c>
      <c r="O15">
        <v>122</v>
      </c>
      <c r="P15">
        <f>Tabel1[[#This Row],[Forbrug (WH)]]/Tabel1[[#This Row],[Længde svejsning]]</f>
        <v>0.36969696969696969</v>
      </c>
      <c r="Q15">
        <v>81</v>
      </c>
      <c r="R15">
        <f t="shared" si="1"/>
        <v>1.5061728395061729</v>
      </c>
      <c r="S15">
        <f>((SQRT((POWER((Tabel1[[#This Row],[A mål]]/2),2)+(POWER((Tabel1[[#This Row],[A mål]]/2),2)))))*(SQRT((POWER((Tabel1[[#This Row],[A mål]]/2),2)+(POWER((Tabel1[[#This Row],[A mål]]/2),2))))))/2</f>
        <v>6.2500000000000009</v>
      </c>
      <c r="T15">
        <f>Tabel1[[#This Row],[Areal snit]]*Tabel1[[#This Row],[Længde svejsning]]</f>
        <v>2062.5000000000005</v>
      </c>
      <c r="U15">
        <f>Tabel1[[#This Row],[Forbrug (WH)]]/Tabel1[[#This Row],[Vol svejsning mm]]</f>
        <v>5.9151515151515136E-2</v>
      </c>
    </row>
    <row r="16" spans="1:21" x14ac:dyDescent="0.35">
      <c r="A16">
        <v>10</v>
      </c>
      <c r="B16" t="s">
        <v>77</v>
      </c>
      <c r="C16" t="s">
        <v>59</v>
      </c>
      <c r="D16">
        <v>330</v>
      </c>
      <c r="E16" t="s">
        <v>48</v>
      </c>
      <c r="F16">
        <v>5</v>
      </c>
      <c r="G16">
        <v>26.4</v>
      </c>
      <c r="H16">
        <v>175</v>
      </c>
      <c r="I16">
        <v>13.2</v>
      </c>
      <c r="J16" t="s">
        <v>49</v>
      </c>
      <c r="K16" t="s">
        <v>50</v>
      </c>
      <c r="L16">
        <v>0.8</v>
      </c>
      <c r="M16" t="s">
        <v>51</v>
      </c>
      <c r="N16">
        <v>12</v>
      </c>
      <c r="O16">
        <v>124</v>
      </c>
      <c r="P16">
        <f>Tabel1[[#This Row],[Forbrug (WH)]]/Tabel1[[#This Row],[Længde svejsning]]</f>
        <v>0.37575757575757573</v>
      </c>
      <c r="Q16">
        <v>83</v>
      </c>
      <c r="R16">
        <f t="shared" si="1"/>
        <v>1.4939759036144578</v>
      </c>
      <c r="S16">
        <f>((SQRT((POWER((Tabel1[[#This Row],[A mål]]/2),2)+(POWER((Tabel1[[#This Row],[A mål]]/2),2)))))*(SQRT((POWER((Tabel1[[#This Row],[A mål]]/2),2)+(POWER((Tabel1[[#This Row],[A mål]]/2),2))))))/2</f>
        <v>6.2500000000000009</v>
      </c>
      <c r="T16">
        <f>Tabel1[[#This Row],[Areal snit]]*Tabel1[[#This Row],[Længde svejsning]]</f>
        <v>2062.5000000000005</v>
      </c>
      <c r="U16">
        <f>Tabel1[[#This Row],[Forbrug (WH)]]/Tabel1[[#This Row],[Vol svejsning mm]]</f>
        <v>6.012121212121211E-2</v>
      </c>
    </row>
    <row r="17" spans="1:21" x14ac:dyDescent="0.35">
      <c r="A17">
        <v>11</v>
      </c>
      <c r="B17" t="s">
        <v>77</v>
      </c>
      <c r="C17" t="s">
        <v>59</v>
      </c>
      <c r="D17">
        <v>330</v>
      </c>
      <c r="E17" t="s">
        <v>48</v>
      </c>
      <c r="F17">
        <v>5</v>
      </c>
      <c r="G17">
        <v>26.4</v>
      </c>
      <c r="H17">
        <v>175</v>
      </c>
      <c r="I17">
        <v>13.2</v>
      </c>
      <c r="J17" t="s">
        <v>49</v>
      </c>
      <c r="K17" t="s">
        <v>50</v>
      </c>
      <c r="L17">
        <v>0.8</v>
      </c>
      <c r="M17" t="s">
        <v>51</v>
      </c>
      <c r="N17">
        <v>12</v>
      </c>
      <c r="O17">
        <v>110</v>
      </c>
      <c r="P17">
        <f>Tabel1[[#This Row],[Forbrug (WH)]]/Tabel1[[#This Row],[Længde svejsning]]</f>
        <v>0.33333333333333331</v>
      </c>
      <c r="Q17">
        <v>74</v>
      </c>
      <c r="R17">
        <f t="shared" si="1"/>
        <v>1.4864864864864864</v>
      </c>
      <c r="S17">
        <f>((SQRT((POWER((Tabel1[[#This Row],[A mål]]/2),2)+(POWER((Tabel1[[#This Row],[A mål]]/2),2)))))*(SQRT((POWER((Tabel1[[#This Row],[A mål]]/2),2)+(POWER((Tabel1[[#This Row],[A mål]]/2),2))))))/2</f>
        <v>6.2500000000000009</v>
      </c>
      <c r="T17">
        <f>Tabel1[[#This Row],[Areal snit]]*Tabel1[[#This Row],[Længde svejsning]]</f>
        <v>2062.5000000000005</v>
      </c>
      <c r="U17">
        <f>Tabel1[[#This Row],[Forbrug (WH)]]/Tabel1[[#This Row],[Vol svejsning mm]]</f>
        <v>5.3333333333333323E-2</v>
      </c>
    </row>
    <row r="18" spans="1:21" x14ac:dyDescent="0.35">
      <c r="A18">
        <v>12</v>
      </c>
      <c r="B18" t="s">
        <v>77</v>
      </c>
      <c r="C18" t="s">
        <v>59</v>
      </c>
      <c r="D18">
        <v>330</v>
      </c>
      <c r="E18" t="s">
        <v>48</v>
      </c>
      <c r="F18">
        <v>5</v>
      </c>
      <c r="G18">
        <v>26.4</v>
      </c>
      <c r="H18">
        <v>175</v>
      </c>
      <c r="I18">
        <v>13.2</v>
      </c>
      <c r="J18" t="s">
        <v>49</v>
      </c>
      <c r="K18" t="s">
        <v>50</v>
      </c>
      <c r="L18">
        <v>0.8</v>
      </c>
      <c r="M18" t="s">
        <v>51</v>
      </c>
      <c r="N18">
        <v>12</v>
      </c>
      <c r="O18">
        <v>115</v>
      </c>
      <c r="P18">
        <f>Tabel1[[#This Row],[Forbrug (WH)]]/Tabel1[[#This Row],[Længde svejsning]]</f>
        <v>0.34848484848484851</v>
      </c>
      <c r="Q18">
        <v>77</v>
      </c>
      <c r="R18">
        <f t="shared" si="1"/>
        <v>1.4935064935064934</v>
      </c>
      <c r="S18">
        <f>((SQRT((POWER((Tabel1[[#This Row],[A mål]]/2),2)+(POWER((Tabel1[[#This Row],[A mål]]/2),2)))))*(SQRT((POWER((Tabel1[[#This Row],[A mål]]/2),2)+(POWER((Tabel1[[#This Row],[A mål]]/2),2))))))/2</f>
        <v>6.2500000000000009</v>
      </c>
      <c r="T18">
        <f>Tabel1[[#This Row],[Areal snit]]*Tabel1[[#This Row],[Længde svejsning]]</f>
        <v>2062.5000000000005</v>
      </c>
      <c r="U18">
        <f>Tabel1[[#This Row],[Forbrug (WH)]]/Tabel1[[#This Row],[Vol svejsning mm]]</f>
        <v>5.5757575757575742E-2</v>
      </c>
    </row>
    <row r="19" spans="1:21" x14ac:dyDescent="0.35">
      <c r="A19" s="2" t="s">
        <v>58</v>
      </c>
      <c r="B19" s="2" t="s">
        <v>77</v>
      </c>
      <c r="C19" s="2" t="s">
        <v>59</v>
      </c>
      <c r="D19" s="2">
        <v>330</v>
      </c>
      <c r="E19" s="2" t="s">
        <v>48</v>
      </c>
      <c r="F19" s="2">
        <v>5</v>
      </c>
      <c r="G19" s="2">
        <v>26.4</v>
      </c>
      <c r="H19" s="2">
        <v>175</v>
      </c>
      <c r="I19" s="2">
        <v>13.2</v>
      </c>
      <c r="J19" s="2" t="s">
        <v>49</v>
      </c>
      <c r="K19" s="2" t="s">
        <v>50</v>
      </c>
      <c r="L19" s="2">
        <v>0.8</v>
      </c>
      <c r="M19" s="2" t="s">
        <v>51</v>
      </c>
      <c r="N19" s="2">
        <v>12</v>
      </c>
      <c r="O19" s="2">
        <f>(O14+O15+O16+O17+O18)/5</f>
        <v>116.92</v>
      </c>
      <c r="P19" s="2">
        <f>Tabel1[[#This Row],[Forbrug (WH)]]/Tabel1[[#This Row],[Længde svejsning]]</f>
        <v>0.35430303030303029</v>
      </c>
      <c r="Q19" s="2">
        <f>(Q14+Q15+Q16+Q17+Q18)/5</f>
        <v>78.2</v>
      </c>
      <c r="R19" s="2">
        <f>(R14+R15+R16+R17+R18)/5</f>
        <v>1.4949757130437749</v>
      </c>
      <c r="S19" s="2">
        <f>((SQRT((POWER((Tabel1[[#This Row],[A mål]]/2),2)+(POWER((Tabel1[[#This Row],[A mål]]/2),2)))))*(SQRT((POWER((Tabel1[[#This Row],[A mål]]/2),2)+(POWER((Tabel1[[#This Row],[A mål]]/2),2))))))/2</f>
        <v>6.2500000000000009</v>
      </c>
      <c r="T19" s="2">
        <f>Tabel1[[#This Row],[Areal snit]]*Tabel1[[#This Row],[Længde svejsning]]</f>
        <v>2062.5000000000005</v>
      </c>
      <c r="U19" s="2">
        <f>Tabel1[[#This Row],[Forbrug (WH)]]/Tabel1[[#This Row],[Vol svejsning mm]]</f>
        <v>5.6688484848484835E-2</v>
      </c>
    </row>
    <row r="22" spans="1:21" x14ac:dyDescent="0.35">
      <c r="C22" t="s">
        <v>78</v>
      </c>
      <c r="D22">
        <v>5</v>
      </c>
    </row>
    <row r="23" spans="1:21" x14ac:dyDescent="0.35">
      <c r="C23" t="s">
        <v>79</v>
      </c>
      <c r="D23">
        <f>(D22/2)</f>
        <v>2.5</v>
      </c>
      <c r="E23">
        <f>(D22/2)</f>
        <v>2.5</v>
      </c>
    </row>
    <row r="24" spans="1:21" x14ac:dyDescent="0.35">
      <c r="C24" t="s">
        <v>80</v>
      </c>
      <c r="D24">
        <f>SQRT((POWER(D23,2)+(POWER(D23,2))))</f>
        <v>3.5355339059327378</v>
      </c>
      <c r="E24">
        <f>SQRT((POWER((D22/2),2)+(POWER((D22/2),2))))</f>
        <v>3.5355339059327378</v>
      </c>
    </row>
    <row r="25" spans="1:21" x14ac:dyDescent="0.35">
      <c r="C25" t="s">
        <v>81</v>
      </c>
      <c r="D25">
        <f>((SQRT((POWER((D22/2),2)+(POWER((D22/2),2)))))*(SQRT((POWER((D22/2),2)+(POWER((D22/2),2))))))/2</f>
        <v>6.2500000000000009</v>
      </c>
      <c r="E25">
        <f>((SQRT((POWER((D22/2),2)+(POWER((D22/2),2)))))*(SQRT((POWER((D22/2),2)+(POWER((D22/2),2))))))/2</f>
        <v>6.2500000000000009</v>
      </c>
      <c r="H25" t="s">
        <v>82</v>
      </c>
    </row>
    <row r="26" spans="1:21" x14ac:dyDescent="0.35">
      <c r="H26" t="s">
        <v>83</v>
      </c>
      <c r="N26" s="4"/>
      <c r="O26" s="4"/>
      <c r="P26" s="4"/>
    </row>
    <row r="27" spans="1:21" x14ac:dyDescent="0.35">
      <c r="P27" s="4"/>
    </row>
    <row r="30" spans="1:21" x14ac:dyDescent="0.35">
      <c r="B30" t="s">
        <v>84</v>
      </c>
    </row>
    <row r="31" spans="1:21" x14ac:dyDescent="0.35">
      <c r="B31" t="s">
        <v>85</v>
      </c>
      <c r="C31">
        <v>330</v>
      </c>
    </row>
    <row r="32" spans="1:21" x14ac:dyDescent="0.35">
      <c r="B32" t="s">
        <v>86</v>
      </c>
      <c r="C32">
        <v>5</v>
      </c>
    </row>
    <row r="33" spans="2:3" x14ac:dyDescent="0.35">
      <c r="B33" t="s">
        <v>87</v>
      </c>
      <c r="C33">
        <f>((SQRT((POWER((C32/2),2)+(POWER((C32/2),2)))))*(SQRT((POWER((C32/2),2)+(POWER((C32/2),2))))))/2</f>
        <v>6.2500000000000009</v>
      </c>
    </row>
    <row r="34" spans="2:3" x14ac:dyDescent="0.35">
      <c r="B34" t="s">
        <v>88</v>
      </c>
      <c r="C34">
        <f>C31*C33</f>
        <v>2062.5000000000005</v>
      </c>
    </row>
    <row r="35" spans="2:3" x14ac:dyDescent="0.35">
      <c r="B35" t="s">
        <v>89</v>
      </c>
    </row>
  </sheetData>
  <mergeCells count="1">
    <mergeCell ref="C1:O2"/>
  </mergeCells>
  <phoneticPr fontId="2" type="noConversion"/>
  <pageMargins left="0.7" right="0.7" top="0.75" bottom="0.75" header="0.3" footer="0.3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BABF5-7A04-433B-95D2-26EC0CD78893}">
  <sheetPr codeName="Ark5"/>
  <dimension ref="A1:U22"/>
  <sheetViews>
    <sheetView zoomScale="70" zoomScaleNormal="70" workbookViewId="0">
      <selection activeCell="L37" sqref="L37"/>
    </sheetView>
  </sheetViews>
  <sheetFormatPr defaultRowHeight="14.5" x14ac:dyDescent="0.35"/>
  <cols>
    <col min="2" max="2" width="19" bestFit="1" customWidth="1"/>
    <col min="3" max="4" width="17.81640625" customWidth="1"/>
    <col min="5" max="5" width="15.7265625" customWidth="1"/>
    <col min="6" max="6" width="7.453125" customWidth="1"/>
    <col min="7" max="7" width="14.453125" customWidth="1"/>
    <col min="8" max="8" width="17.54296875" customWidth="1"/>
    <col min="9" max="9" width="22.1796875" customWidth="1"/>
    <col min="11" max="11" width="10.1796875" customWidth="1"/>
    <col min="12" max="12" width="15.26953125" customWidth="1"/>
    <col min="13" max="13" width="9.453125" customWidth="1"/>
    <col min="14" max="14" width="13.7265625" bestFit="1" customWidth="1"/>
    <col min="15" max="15" width="20.54296875" bestFit="1" customWidth="1"/>
    <col min="16" max="16" width="20.54296875" customWidth="1"/>
    <col min="17" max="17" width="7.26953125" customWidth="1"/>
    <col min="18" max="18" width="9.453125" customWidth="1"/>
    <col min="19" max="19" width="11" bestFit="1" customWidth="1"/>
    <col min="20" max="20" width="18.1796875" bestFit="1" customWidth="1"/>
    <col min="21" max="21" width="16.81640625" bestFit="1" customWidth="1"/>
  </cols>
  <sheetData>
    <row r="1" spans="1:21" ht="23.5" x14ac:dyDescent="0.35">
      <c r="C1" s="45" t="s">
        <v>76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3"/>
    </row>
    <row r="2" spans="1:21" ht="23.5" x14ac:dyDescent="0.3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3"/>
    </row>
    <row r="4" spans="1:21" x14ac:dyDescent="0.35">
      <c r="A4" t="s">
        <v>21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 t="s">
        <v>41</v>
      </c>
    </row>
    <row r="5" spans="1:21" x14ac:dyDescent="0.35">
      <c r="A5" s="1">
        <v>1</v>
      </c>
      <c r="B5" s="1" t="s">
        <v>77</v>
      </c>
      <c r="C5" s="1" t="s">
        <v>47</v>
      </c>
      <c r="D5" s="1">
        <v>330</v>
      </c>
      <c r="E5" s="1" t="s">
        <v>48</v>
      </c>
      <c r="F5" s="1">
        <v>4.2</v>
      </c>
      <c r="G5" s="1">
        <v>20</v>
      </c>
      <c r="H5" s="1">
        <v>205</v>
      </c>
      <c r="I5" s="1">
        <v>8</v>
      </c>
      <c r="J5" s="1" t="s">
        <v>49</v>
      </c>
      <c r="K5" s="1" t="s">
        <v>50</v>
      </c>
      <c r="L5" s="1">
        <v>0.8</v>
      </c>
      <c r="M5" s="1" t="s">
        <v>51</v>
      </c>
      <c r="N5" s="1">
        <v>22</v>
      </c>
      <c r="O5" s="1">
        <v>79</v>
      </c>
      <c r="P5" s="1">
        <f>Tabel2[[#This Row],[Forbrug (WH)]]/Tabel2[[#This Row],[Længde svejsning]]</f>
        <v>0.23939393939393938</v>
      </c>
      <c r="Q5" s="1">
        <v>61</v>
      </c>
      <c r="R5" s="1">
        <f>O5/Q5</f>
        <v>1.2950819672131149</v>
      </c>
      <c r="S5" s="1">
        <f>((SQRT((POWER((Tabel2[[#This Row],[A mål]]/2),2)+(POWER((Tabel2[[#This Row],[A mål]]/2),2)))))*(SQRT((POWER((Tabel2[[#This Row],[A mål]]/2),2)+(POWER((Tabel2[[#This Row],[A mål]]/2),2))))))/2</f>
        <v>4.41</v>
      </c>
      <c r="T5" s="1">
        <f>Tabel2[[#This Row],[Areal snit]]*Tabel2[[#This Row],[Længde svejsning]]</f>
        <v>1455.3</v>
      </c>
      <c r="U5" s="1">
        <f>Tabel2[[#This Row],[Forbrug (WH)]]/Tabel2[[#This Row],[Vol svejsning mm]]</f>
        <v>5.4284339998625718E-2</v>
      </c>
    </row>
    <row r="6" spans="1:21" x14ac:dyDescent="0.35">
      <c r="A6">
        <v>2</v>
      </c>
      <c r="B6" t="s">
        <v>77</v>
      </c>
      <c r="C6" t="s">
        <v>47</v>
      </c>
      <c r="D6">
        <v>330</v>
      </c>
      <c r="E6" t="s">
        <v>48</v>
      </c>
      <c r="F6">
        <v>3</v>
      </c>
      <c r="G6">
        <v>20</v>
      </c>
      <c r="H6">
        <v>205</v>
      </c>
      <c r="I6">
        <v>8</v>
      </c>
      <c r="J6" t="s">
        <v>49</v>
      </c>
      <c r="K6" t="s">
        <v>50</v>
      </c>
      <c r="L6">
        <v>0.8</v>
      </c>
      <c r="M6" t="s">
        <v>51</v>
      </c>
      <c r="N6">
        <v>12</v>
      </c>
      <c r="O6">
        <v>56</v>
      </c>
      <c r="P6">
        <f>Tabel2[[#This Row],[Forbrug (WH)]]/Tabel2[[#This Row],[Længde svejsning]]</f>
        <v>0.16969696969696971</v>
      </c>
      <c r="Q6">
        <v>43</v>
      </c>
      <c r="R6">
        <f>O6/Q6</f>
        <v>1.3023255813953489</v>
      </c>
      <c r="S6">
        <f>((SQRT((POWER((Tabel2[[#This Row],[A mål]]/2),2)+(POWER((Tabel2[[#This Row],[A mål]]/2),2)))))*(SQRT((POWER((Tabel2[[#This Row],[A mål]]/2),2)+(POWER((Tabel2[[#This Row],[A mål]]/2),2))))))/2</f>
        <v>2.2499999999999996</v>
      </c>
      <c r="T6">
        <f>Tabel2[[#This Row],[Areal snit]]*Tabel2[[#This Row],[Længde svejsning]]</f>
        <v>742.49999999999989</v>
      </c>
      <c r="U6">
        <f>Tabel2[[#This Row],[Forbrug (WH)]]/Tabel2[[#This Row],[Vol svejsning mm]]</f>
        <v>7.542087542087543E-2</v>
      </c>
    </row>
    <row r="7" spans="1:21" x14ac:dyDescent="0.35">
      <c r="A7">
        <v>3</v>
      </c>
      <c r="B7" t="s">
        <v>77</v>
      </c>
      <c r="C7" t="s">
        <v>47</v>
      </c>
      <c r="D7">
        <v>330</v>
      </c>
      <c r="E7" t="s">
        <v>48</v>
      </c>
      <c r="F7">
        <v>3</v>
      </c>
      <c r="G7">
        <v>20</v>
      </c>
      <c r="H7">
        <v>205</v>
      </c>
      <c r="I7">
        <v>8</v>
      </c>
      <c r="J7" t="s">
        <v>49</v>
      </c>
      <c r="K7" t="s">
        <v>50</v>
      </c>
      <c r="L7">
        <v>0.8</v>
      </c>
      <c r="M7" t="s">
        <v>51</v>
      </c>
      <c r="N7">
        <v>12</v>
      </c>
      <c r="O7">
        <v>73</v>
      </c>
      <c r="P7">
        <f>Tabel2[[#This Row],[Forbrug (WH)]]/Tabel2[[#This Row],[Længde svejsning]]</f>
        <v>0.22121212121212122</v>
      </c>
      <c r="Q7">
        <v>56</v>
      </c>
      <c r="R7">
        <f>O7/Q7</f>
        <v>1.3035714285714286</v>
      </c>
      <c r="S7">
        <f>((SQRT((POWER((Tabel2[[#This Row],[A mål]]/2),2)+(POWER((Tabel2[[#This Row],[A mål]]/2),2)))))*(SQRT((POWER((Tabel2[[#This Row],[A mål]]/2),2)+(POWER((Tabel2[[#This Row],[A mål]]/2),2))))))/2</f>
        <v>2.2499999999999996</v>
      </c>
      <c r="T7">
        <f>Tabel2[[#This Row],[Areal snit]]*Tabel2[[#This Row],[Længde svejsning]]</f>
        <v>742.49999999999989</v>
      </c>
      <c r="U7">
        <f>Tabel2[[#This Row],[Forbrug (WH)]]/Tabel2[[#This Row],[Vol svejsning mm]]</f>
        <v>9.831649831649833E-2</v>
      </c>
    </row>
    <row r="8" spans="1:21" x14ac:dyDescent="0.35">
      <c r="A8">
        <v>4</v>
      </c>
      <c r="B8" t="s">
        <v>77</v>
      </c>
      <c r="C8" t="s">
        <v>47</v>
      </c>
      <c r="D8">
        <v>330</v>
      </c>
      <c r="E8" t="s">
        <v>48</v>
      </c>
      <c r="F8">
        <v>3</v>
      </c>
      <c r="G8">
        <v>20</v>
      </c>
      <c r="H8">
        <v>205</v>
      </c>
      <c r="I8">
        <v>8</v>
      </c>
      <c r="J8" t="s">
        <v>49</v>
      </c>
      <c r="K8" t="s">
        <v>50</v>
      </c>
      <c r="L8">
        <v>0.8</v>
      </c>
      <c r="M8" t="s">
        <v>51</v>
      </c>
      <c r="N8">
        <v>12</v>
      </c>
      <c r="O8">
        <v>78</v>
      </c>
      <c r="P8">
        <f>Tabel2[[#This Row],[Forbrug (WH)]]/Tabel2[[#This Row],[Længde svejsning]]</f>
        <v>0.23636363636363636</v>
      </c>
      <c r="Q8">
        <v>60</v>
      </c>
      <c r="R8">
        <f>O8/Q8</f>
        <v>1.3</v>
      </c>
      <c r="S8">
        <f>((SQRT((POWER((Tabel2[[#This Row],[A mål]]/2),2)+(POWER((Tabel2[[#This Row],[A mål]]/2),2)))))*(SQRT((POWER((Tabel2[[#This Row],[A mål]]/2),2)+(POWER((Tabel2[[#This Row],[A mål]]/2),2))))))/2</f>
        <v>2.2499999999999996</v>
      </c>
      <c r="T8">
        <f>Tabel2[[#This Row],[Areal snit]]*Tabel2[[#This Row],[Længde svejsning]]</f>
        <v>742.49999999999989</v>
      </c>
      <c r="U8">
        <f>Tabel2[[#This Row],[Forbrug (WH)]]/Tabel2[[#This Row],[Vol svejsning mm]]</f>
        <v>0.10505050505050506</v>
      </c>
    </row>
    <row r="9" spans="1:21" x14ac:dyDescent="0.35">
      <c r="A9">
        <v>5</v>
      </c>
      <c r="B9" t="s">
        <v>77</v>
      </c>
      <c r="C9" t="s">
        <v>47</v>
      </c>
      <c r="D9">
        <v>330</v>
      </c>
      <c r="E9" t="s">
        <v>48</v>
      </c>
      <c r="F9">
        <v>3</v>
      </c>
      <c r="G9">
        <v>20</v>
      </c>
      <c r="H9">
        <v>205</v>
      </c>
      <c r="I9">
        <v>8</v>
      </c>
      <c r="J9" t="s">
        <v>49</v>
      </c>
      <c r="K9" t="s">
        <v>50</v>
      </c>
      <c r="L9">
        <v>0.8</v>
      </c>
      <c r="M9" t="s">
        <v>51</v>
      </c>
      <c r="N9">
        <v>12</v>
      </c>
      <c r="O9">
        <v>67</v>
      </c>
      <c r="P9">
        <f>Tabel2[[#This Row],[Forbrug (WH)]]/Tabel2[[#This Row],[Længde svejsning]]</f>
        <v>0.20303030303030303</v>
      </c>
      <c r="Q9">
        <v>53</v>
      </c>
      <c r="R9">
        <f>O9/Q9</f>
        <v>1.2641509433962264</v>
      </c>
      <c r="S9">
        <f>((SQRT((POWER((Tabel2[[#This Row],[A mål]]/2),2)+(POWER((Tabel2[[#This Row],[A mål]]/2),2)))))*(SQRT((POWER((Tabel2[[#This Row],[A mål]]/2),2)+(POWER((Tabel2[[#This Row],[A mål]]/2),2))))))/2</f>
        <v>2.2499999999999996</v>
      </c>
      <c r="T9">
        <f>Tabel2[[#This Row],[Areal snit]]*Tabel2[[#This Row],[Længde svejsning]]</f>
        <v>742.49999999999989</v>
      </c>
      <c r="U9">
        <f>Tabel2[[#This Row],[Forbrug (WH)]]/Tabel2[[#This Row],[Vol svejsning mm]]</f>
        <v>9.0235690235690252E-2</v>
      </c>
    </row>
    <row r="10" spans="1:21" x14ac:dyDescent="0.35">
      <c r="A10" s="2" t="s">
        <v>58</v>
      </c>
      <c r="B10" s="2" t="s">
        <v>77</v>
      </c>
      <c r="C10" s="2" t="s">
        <v>47</v>
      </c>
      <c r="D10" s="2">
        <v>330</v>
      </c>
      <c r="E10" s="2" t="s">
        <v>48</v>
      </c>
      <c r="F10" s="2">
        <v>3</v>
      </c>
      <c r="G10" s="2">
        <v>20</v>
      </c>
      <c r="H10" s="2">
        <v>205</v>
      </c>
      <c r="I10" s="2">
        <v>8</v>
      </c>
      <c r="J10" s="2" t="s">
        <v>49</v>
      </c>
      <c r="K10" s="2" t="s">
        <v>50</v>
      </c>
      <c r="L10" s="2">
        <v>0.8</v>
      </c>
      <c r="M10" s="2" t="s">
        <v>51</v>
      </c>
      <c r="N10" s="2">
        <v>12</v>
      </c>
      <c r="O10" s="2">
        <f>(O6+O7+O8+O9)/4</f>
        <v>68.5</v>
      </c>
      <c r="P10" s="2">
        <f>Tabel2[[#This Row],[Forbrug (WH)]]/Tabel2[[#This Row],[Længde svejsning]]</f>
        <v>0.20757575757575758</v>
      </c>
      <c r="Q10" s="2">
        <f>(Q6+Q7+Q8+Q9)/4</f>
        <v>53</v>
      </c>
      <c r="R10" s="2">
        <f>(R6+R7+R8+R9)/4</f>
        <v>1.2925119883407508</v>
      </c>
      <c r="S10" s="2">
        <f>((SQRT((POWER((Tabel2[[#This Row],[A mål]]/2),2)+(POWER((Tabel2[[#This Row],[A mål]]/2),2)))))*(SQRT((POWER((Tabel2[[#This Row],[A mål]]/2),2)+(POWER((Tabel2[[#This Row],[A mål]]/2),2))))))/2</f>
        <v>2.2499999999999996</v>
      </c>
      <c r="T10" s="2">
        <f>Tabel2[[#This Row],[Areal snit]]*Tabel2[[#This Row],[Længde svejsning]]</f>
        <v>742.49999999999989</v>
      </c>
      <c r="U10" s="2">
        <f>Tabel2[[#This Row],[Forbrug (WH)]]/Tabel2[[#This Row],[Vol svejsning mm]]</f>
        <v>9.2255892255892272E-2</v>
      </c>
    </row>
    <row r="11" spans="1:21" x14ac:dyDescent="0.35">
      <c r="A11">
        <v>6</v>
      </c>
      <c r="B11" s="1" t="s">
        <v>77</v>
      </c>
      <c r="C11" s="1" t="s">
        <v>59</v>
      </c>
      <c r="D11" s="1">
        <v>330</v>
      </c>
      <c r="E11" s="1" t="s">
        <v>48</v>
      </c>
      <c r="F11" s="1">
        <v>5</v>
      </c>
      <c r="G11" s="1">
        <v>24.5</v>
      </c>
      <c r="H11" s="1">
        <v>200</v>
      </c>
      <c r="I11" s="1">
        <v>9.5</v>
      </c>
      <c r="J11" s="1" t="s">
        <v>49</v>
      </c>
      <c r="K11" s="1" t="s">
        <v>50</v>
      </c>
      <c r="L11" s="1">
        <v>0.8</v>
      </c>
      <c r="M11" s="1" t="s">
        <v>51</v>
      </c>
      <c r="N11" s="1">
        <v>12</v>
      </c>
      <c r="O11" s="1">
        <v>132</v>
      </c>
      <c r="P11" s="1">
        <f>Tabel2[[#This Row],[Forbrug (WH)]]/Tabel2[[#This Row],[Længde svejsning]]</f>
        <v>0.4</v>
      </c>
      <c r="Q11" s="1">
        <v>72</v>
      </c>
      <c r="R11" s="1">
        <f>O11/Q11</f>
        <v>1.8333333333333333</v>
      </c>
      <c r="S11" s="1">
        <f>((SQRT((POWER((Tabel2[[#This Row],[A mål]]/2),2)+(POWER((Tabel2[[#This Row],[A mål]]/2),2)))))*(SQRT((POWER((Tabel2[[#This Row],[A mål]]/2),2)+(POWER((Tabel2[[#This Row],[A mål]]/2),2))))))/2</f>
        <v>6.2500000000000009</v>
      </c>
      <c r="T11" s="1">
        <f>Tabel2[[#This Row],[Areal snit]]*Tabel2[[#This Row],[Længde svejsning]]</f>
        <v>2062.5000000000005</v>
      </c>
      <c r="U11" s="1">
        <f>Tabel2[[#This Row],[Forbrug (WH)]]/Tabel2[[#This Row],[Vol svejsning mm]]</f>
        <v>6.3999999999999987E-2</v>
      </c>
    </row>
    <row r="12" spans="1:21" x14ac:dyDescent="0.35">
      <c r="A12">
        <v>7</v>
      </c>
      <c r="B12" t="s">
        <v>77</v>
      </c>
      <c r="C12" t="s">
        <v>59</v>
      </c>
      <c r="D12">
        <v>330</v>
      </c>
      <c r="E12" t="s">
        <v>48</v>
      </c>
      <c r="F12">
        <v>5</v>
      </c>
      <c r="G12">
        <v>20.3</v>
      </c>
      <c r="H12">
        <v>185</v>
      </c>
      <c r="I12">
        <v>7.2</v>
      </c>
      <c r="J12" t="s">
        <v>49</v>
      </c>
      <c r="K12" t="s">
        <v>50</v>
      </c>
      <c r="L12">
        <v>0.8</v>
      </c>
      <c r="M12" t="s">
        <v>51</v>
      </c>
      <c r="N12">
        <v>12</v>
      </c>
      <c r="O12">
        <v>128</v>
      </c>
      <c r="P12">
        <f>Tabel2[[#This Row],[Forbrug (WH)]]/Tabel2[[#This Row],[Længde svejsning]]</f>
        <v>0.38787878787878788</v>
      </c>
      <c r="Q12">
        <v>100</v>
      </c>
      <c r="R12">
        <f>O12/Q12</f>
        <v>1.28</v>
      </c>
      <c r="S12">
        <f>((SQRT((POWER((Tabel2[[#This Row],[A mål]]/2),2)+(POWER((Tabel2[[#This Row],[A mål]]/2),2)))))*(SQRT((POWER((Tabel2[[#This Row],[A mål]]/2),2)+(POWER((Tabel2[[#This Row],[A mål]]/2),2))))))/2</f>
        <v>6.2500000000000009</v>
      </c>
      <c r="T12">
        <f>Tabel2[[#This Row],[Areal snit]]*Tabel2[[#This Row],[Længde svejsning]]</f>
        <v>2062.5000000000005</v>
      </c>
      <c r="U12">
        <f>Tabel2[[#This Row],[Forbrug (WH)]]/Tabel2[[#This Row],[Vol svejsning mm]]</f>
        <v>6.2060606060606045E-2</v>
      </c>
    </row>
    <row r="13" spans="1:21" x14ac:dyDescent="0.35">
      <c r="A13">
        <v>8</v>
      </c>
      <c r="B13" t="s">
        <v>77</v>
      </c>
      <c r="C13" t="s">
        <v>59</v>
      </c>
      <c r="D13">
        <v>330</v>
      </c>
      <c r="E13" t="s">
        <v>48</v>
      </c>
      <c r="F13">
        <v>5</v>
      </c>
      <c r="G13">
        <v>20.3</v>
      </c>
      <c r="H13">
        <v>185</v>
      </c>
      <c r="I13">
        <v>7.2</v>
      </c>
      <c r="J13" t="s">
        <v>49</v>
      </c>
      <c r="K13" t="s">
        <v>50</v>
      </c>
      <c r="L13">
        <v>0.8</v>
      </c>
      <c r="M13" t="s">
        <v>51</v>
      </c>
      <c r="N13">
        <v>12</v>
      </c>
      <c r="O13">
        <v>136</v>
      </c>
      <c r="P13" t="b">
        <f>'TIG-Migatronic PI 250'!P5=Tabel3[[#This Row],[Forbrug (WH)]]/Tabel3[[#This Row],[Længde svejsning]]</f>
        <v>0</v>
      </c>
      <c r="Q13">
        <v>105</v>
      </c>
      <c r="R13">
        <f>O13/Q13</f>
        <v>1.2952380952380953</v>
      </c>
      <c r="S13">
        <f>((SQRT((POWER((Tabel2[[#This Row],[A mål]]/2),2)+(POWER((Tabel2[[#This Row],[A mål]]/2),2)))))*(SQRT((POWER((Tabel2[[#This Row],[A mål]]/2),2)+(POWER((Tabel2[[#This Row],[A mål]]/2),2))))))/2</f>
        <v>6.2500000000000009</v>
      </c>
      <c r="T13">
        <f>Tabel2[[#This Row],[Areal snit]]*Tabel2[[#This Row],[Længde svejsning]]</f>
        <v>2062.5000000000005</v>
      </c>
      <c r="U13">
        <f>Tabel2[[#This Row],[Forbrug (WH)]]/Tabel2[[#This Row],[Vol svejsning mm]]</f>
        <v>6.5939393939393923E-2</v>
      </c>
    </row>
    <row r="14" spans="1:21" x14ac:dyDescent="0.35">
      <c r="A14">
        <v>9</v>
      </c>
      <c r="B14" t="s">
        <v>77</v>
      </c>
      <c r="C14" t="s">
        <v>59</v>
      </c>
      <c r="D14">
        <v>330</v>
      </c>
      <c r="E14" t="s">
        <v>48</v>
      </c>
      <c r="F14">
        <v>5</v>
      </c>
      <c r="G14">
        <v>20.3</v>
      </c>
      <c r="H14">
        <v>185</v>
      </c>
      <c r="I14">
        <v>7.2</v>
      </c>
      <c r="J14" t="s">
        <v>49</v>
      </c>
      <c r="K14" t="s">
        <v>50</v>
      </c>
      <c r="L14">
        <v>0.8</v>
      </c>
      <c r="M14" t="s">
        <v>51</v>
      </c>
      <c r="N14">
        <v>12</v>
      </c>
      <c r="O14">
        <v>128</v>
      </c>
      <c r="P14">
        <f>Tabel2[[#This Row],[Forbrug (WH)]]/Tabel2[[#This Row],[Længde svejsning]]</f>
        <v>0.38787878787878788</v>
      </c>
      <c r="Q14">
        <v>102</v>
      </c>
      <c r="R14">
        <f>O14/Q14</f>
        <v>1.2549019607843137</v>
      </c>
      <c r="S14">
        <f>((SQRT((POWER((Tabel2[[#This Row],[A mål]]/2),2)+(POWER((Tabel2[[#This Row],[A mål]]/2),2)))))*(SQRT((POWER((Tabel2[[#This Row],[A mål]]/2),2)+(POWER((Tabel2[[#This Row],[A mål]]/2),2))))))/2</f>
        <v>6.2500000000000009</v>
      </c>
      <c r="T14">
        <f>Tabel2[[#This Row],[Areal snit]]*Tabel2[[#This Row],[Længde svejsning]]</f>
        <v>2062.5000000000005</v>
      </c>
      <c r="U14">
        <f>Tabel2[[#This Row],[Forbrug (WH)]]/Tabel2[[#This Row],[Vol svejsning mm]]</f>
        <v>6.2060606060606045E-2</v>
      </c>
    </row>
    <row r="15" spans="1:21" x14ac:dyDescent="0.35">
      <c r="A15">
        <v>10</v>
      </c>
      <c r="B15" t="s">
        <v>77</v>
      </c>
      <c r="C15" t="s">
        <v>59</v>
      </c>
      <c r="D15">
        <v>330</v>
      </c>
      <c r="E15" t="s">
        <v>48</v>
      </c>
      <c r="F15">
        <v>5</v>
      </c>
      <c r="G15">
        <v>20.3</v>
      </c>
      <c r="H15">
        <v>185</v>
      </c>
      <c r="I15">
        <v>7.2</v>
      </c>
      <c r="J15" t="s">
        <v>49</v>
      </c>
      <c r="K15" t="s">
        <v>50</v>
      </c>
      <c r="L15">
        <v>0.8</v>
      </c>
      <c r="M15" t="s">
        <v>51</v>
      </c>
      <c r="N15">
        <v>12</v>
      </c>
      <c r="O15">
        <v>138</v>
      </c>
      <c r="P15">
        <f>Tabel2[[#This Row],[Forbrug (WH)]]/Tabel2[[#This Row],[Længde svejsning]]</f>
        <v>0.41818181818181815</v>
      </c>
      <c r="Q15">
        <v>107</v>
      </c>
      <c r="R15">
        <f>O15/Q15</f>
        <v>1.2897196261682242</v>
      </c>
      <c r="S15">
        <f>((SQRT((POWER((Tabel2[[#This Row],[A mål]]/2),2)+(POWER((Tabel2[[#This Row],[A mål]]/2),2)))))*(SQRT((POWER((Tabel2[[#This Row],[A mål]]/2),2)+(POWER((Tabel2[[#This Row],[A mål]]/2),2))))))/2</f>
        <v>6.2500000000000009</v>
      </c>
      <c r="T15">
        <f>Tabel2[[#This Row],[Areal snit]]*Tabel2[[#This Row],[Længde svejsning]]</f>
        <v>2062.5000000000005</v>
      </c>
      <c r="U15">
        <f>Tabel2[[#This Row],[Forbrug (WH)]]/Tabel2[[#This Row],[Vol svejsning mm]]</f>
        <v>6.690909090909089E-2</v>
      </c>
    </row>
    <row r="16" spans="1:21" x14ac:dyDescent="0.35">
      <c r="A16" s="2" t="s">
        <v>58</v>
      </c>
      <c r="B16" s="2" t="s">
        <v>77</v>
      </c>
      <c r="C16" s="2" t="s">
        <v>59</v>
      </c>
      <c r="D16" s="2">
        <v>330</v>
      </c>
      <c r="E16" s="2" t="s">
        <v>48</v>
      </c>
      <c r="F16" s="2">
        <v>5</v>
      </c>
      <c r="G16" s="2">
        <v>20.3</v>
      </c>
      <c r="H16" s="2">
        <v>185</v>
      </c>
      <c r="I16" s="2">
        <v>7.2</v>
      </c>
      <c r="J16" s="2" t="s">
        <v>49</v>
      </c>
      <c r="K16" s="2" t="s">
        <v>50</v>
      </c>
      <c r="L16" s="2">
        <v>0.8</v>
      </c>
      <c r="M16" s="2" t="s">
        <v>51</v>
      </c>
      <c r="N16" s="2">
        <v>12</v>
      </c>
      <c r="O16" s="2">
        <f>(O12+O13+O14+O15)/4</f>
        <v>132.5</v>
      </c>
      <c r="P16" s="2">
        <f>Tabel2[[#This Row],[Forbrug (WH)]]/Tabel2[[#This Row],[Længde svejsning]]</f>
        <v>0.40151515151515149</v>
      </c>
      <c r="Q16" s="2">
        <f>(Q12+Q13+Q14+Q15)/4</f>
        <v>103.5</v>
      </c>
      <c r="R16" s="2">
        <f>(R12+R13+R14+R15)/4</f>
        <v>1.2799649205476582</v>
      </c>
      <c r="S16" s="2">
        <f>((SQRT((POWER((Tabel2[[#This Row],[A mål]]/2),2)+(POWER((Tabel2[[#This Row],[A mål]]/2),2)))))*(SQRT((POWER((Tabel2[[#This Row],[A mål]]/2),2)+(POWER((Tabel2[[#This Row],[A mål]]/2),2))))))/2</f>
        <v>6.2500000000000009</v>
      </c>
      <c r="T16" s="2">
        <f>Tabel2[[#This Row],[Areal snit]]*Tabel2[[#This Row],[Længde svejsning]]</f>
        <v>2062.5000000000005</v>
      </c>
      <c r="U16" s="2">
        <f>Tabel2[[#This Row],[Forbrug (WH)]]/Tabel2[[#This Row],[Vol svejsning mm]]</f>
        <v>6.4242424242424226E-2</v>
      </c>
    </row>
    <row r="21" spans="16:16" x14ac:dyDescent="0.35">
      <c r="P21" s="4"/>
    </row>
    <row r="22" spans="16:16" x14ac:dyDescent="0.35">
      <c r="P22" s="4"/>
    </row>
  </sheetData>
  <mergeCells count="1">
    <mergeCell ref="C1:O2"/>
  </mergeCells>
  <phoneticPr fontId="2" type="noConversion"/>
  <pageMargins left="0.7" right="0.7" top="0.75" bottom="0.75" header="0.3" footer="0.3"/>
  <drawing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DE211-1776-4FDB-987E-E979B79C25BE}">
  <sheetPr codeName="Ark6"/>
  <dimension ref="A1:U24"/>
  <sheetViews>
    <sheetView topLeftCell="C1" zoomScale="70" zoomScaleNormal="70" workbookViewId="0">
      <selection activeCell="Q37" sqref="Q37"/>
    </sheetView>
  </sheetViews>
  <sheetFormatPr defaultRowHeight="14.5" x14ac:dyDescent="0.35"/>
  <cols>
    <col min="3" max="4" width="17.81640625" customWidth="1"/>
    <col min="5" max="5" width="15.7265625" customWidth="1"/>
    <col min="7" max="7" width="14.453125" customWidth="1"/>
    <col min="8" max="8" width="19" bestFit="1" customWidth="1"/>
    <col min="9" max="9" width="22.1796875" customWidth="1"/>
    <col min="11" max="11" width="10.1796875" customWidth="1"/>
    <col min="12" max="12" width="15.26953125" customWidth="1"/>
    <col min="13" max="13" width="9.453125" customWidth="1"/>
    <col min="14" max="14" width="13.7265625" bestFit="1" customWidth="1"/>
    <col min="15" max="15" width="20.54296875" bestFit="1" customWidth="1"/>
    <col min="16" max="16" width="20.54296875" customWidth="1"/>
    <col min="18" max="18" width="9.453125" customWidth="1"/>
    <col min="19" max="19" width="11" bestFit="1" customWidth="1"/>
    <col min="20" max="20" width="18.1796875" bestFit="1" customWidth="1"/>
    <col min="21" max="21" width="16.81640625" bestFit="1" customWidth="1"/>
  </cols>
  <sheetData>
    <row r="1" spans="1:21" x14ac:dyDescent="0.35">
      <c r="C1" s="45" t="s">
        <v>76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21" x14ac:dyDescent="0.3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4" spans="1:21" x14ac:dyDescent="0.35">
      <c r="A4" t="s">
        <v>21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 t="s">
        <v>41</v>
      </c>
    </row>
    <row r="5" spans="1:21" x14ac:dyDescent="0.35">
      <c r="A5">
        <v>1</v>
      </c>
      <c r="B5" t="s">
        <v>90</v>
      </c>
      <c r="C5" t="s">
        <v>47</v>
      </c>
      <c r="D5">
        <v>330</v>
      </c>
      <c r="E5" t="s">
        <v>48</v>
      </c>
      <c r="F5">
        <v>1.2</v>
      </c>
      <c r="G5" t="s">
        <v>60</v>
      </c>
      <c r="H5">
        <v>100</v>
      </c>
      <c r="J5" t="s">
        <v>61</v>
      </c>
      <c r="K5" t="s">
        <v>62</v>
      </c>
      <c r="M5" t="s">
        <v>63</v>
      </c>
      <c r="N5">
        <v>10</v>
      </c>
      <c r="O5">
        <v>48</v>
      </c>
      <c r="P5">
        <f>Tabel3[[#This Row],[Forbrug (WH)]]/Tabel3[[#This Row],[Længde svejsning]]</f>
        <v>0.14545454545454545</v>
      </c>
      <c r="Q5">
        <v>147</v>
      </c>
      <c r="R5">
        <f t="shared" ref="R5:R10" si="0">O5/Q5</f>
        <v>0.32653061224489793</v>
      </c>
      <c r="S5">
        <f>((SQRT((POWER((Tabel3[[#This Row],[A mål]]/2),2)+(POWER((Tabel3[[#This Row],[A mål]]/2),2)))))*(SQRT((POWER((Tabel3[[#This Row],[A mål]]/2),2)+(POWER((Tabel3[[#This Row],[A mål]]/2),2))))))/2</f>
        <v>0.36</v>
      </c>
      <c r="T5">
        <f>Tabel3[[#This Row],[Areal snit]]*Tabel3[[#This Row],[Længde svejsning]]</f>
        <v>118.8</v>
      </c>
      <c r="U5">
        <f>Tabel3[[#This Row],[Forbrug (WH)]]/Tabel3[[#This Row],[Vol svejsning mm]]</f>
        <v>0.40404040404040403</v>
      </c>
    </row>
    <row r="6" spans="1:21" x14ac:dyDescent="0.35">
      <c r="A6">
        <v>2</v>
      </c>
      <c r="B6" t="s">
        <v>90</v>
      </c>
      <c r="C6" t="s">
        <v>47</v>
      </c>
      <c r="D6">
        <v>330</v>
      </c>
      <c r="E6" t="s">
        <v>48</v>
      </c>
      <c r="F6">
        <v>3</v>
      </c>
      <c r="G6" t="s">
        <v>60</v>
      </c>
      <c r="H6">
        <v>100</v>
      </c>
      <c r="J6" t="s">
        <v>61</v>
      </c>
      <c r="K6" t="s">
        <v>62</v>
      </c>
      <c r="M6" t="s">
        <v>63</v>
      </c>
      <c r="N6">
        <v>10</v>
      </c>
      <c r="O6">
        <v>117</v>
      </c>
      <c r="P6">
        <f>Tabel3[[#This Row],[Forbrug (WH)]]/Tabel3[[#This Row],[Længde svejsning]]</f>
        <v>0.35454545454545455</v>
      </c>
      <c r="Q6">
        <v>343</v>
      </c>
      <c r="R6">
        <f t="shared" si="0"/>
        <v>0.34110787172011664</v>
      </c>
      <c r="S6">
        <f>((SQRT((POWER((Tabel3[[#This Row],[A mål]]/2),2)+(POWER((Tabel3[[#This Row],[A mål]]/2),2)))))*(SQRT((POWER((Tabel3[[#This Row],[A mål]]/2),2)+(POWER((Tabel3[[#This Row],[A mål]]/2),2))))))/2</f>
        <v>2.2499999999999996</v>
      </c>
      <c r="T6">
        <f>Tabel3[[#This Row],[Areal snit]]*Tabel3[[#This Row],[Længde svejsning]]</f>
        <v>742.49999999999989</v>
      </c>
      <c r="U6">
        <f>Tabel3[[#This Row],[Forbrug (WH)]]/Tabel3[[#This Row],[Vol svejsning mm]]</f>
        <v>0.15757575757575759</v>
      </c>
    </row>
    <row r="7" spans="1:21" x14ac:dyDescent="0.35">
      <c r="A7">
        <v>3</v>
      </c>
      <c r="B7" t="s">
        <v>90</v>
      </c>
      <c r="C7" t="s">
        <v>65</v>
      </c>
      <c r="D7">
        <v>165</v>
      </c>
      <c r="E7" t="s">
        <v>48</v>
      </c>
      <c r="F7">
        <v>3</v>
      </c>
      <c r="G7" t="s">
        <v>60</v>
      </c>
      <c r="H7">
        <v>100</v>
      </c>
      <c r="J7" t="s">
        <v>61</v>
      </c>
      <c r="K7" t="s">
        <v>62</v>
      </c>
      <c r="M7" t="s">
        <v>63</v>
      </c>
      <c r="N7">
        <v>10</v>
      </c>
      <c r="O7">
        <v>67</v>
      </c>
      <c r="P7">
        <f>Tabel3[[#This Row],[Forbrug (WH)]]/Tabel3[[#This Row],[Længde svejsning]]</f>
        <v>0.40606060606060607</v>
      </c>
      <c r="Q7">
        <v>190</v>
      </c>
      <c r="R7">
        <f t="shared" si="0"/>
        <v>0.35263157894736841</v>
      </c>
      <c r="S7">
        <f>((SQRT((POWER((Tabel3[[#This Row],[A mål]]/2),2)+(POWER((Tabel3[[#This Row],[A mål]]/2),2)))))*(SQRT((POWER((Tabel3[[#This Row],[A mål]]/2),2)+(POWER((Tabel3[[#This Row],[A mål]]/2),2))))))/2</f>
        <v>2.2499999999999996</v>
      </c>
      <c r="T7">
        <f>Tabel3[[#This Row],[Areal snit]]*Tabel3[[#This Row],[Længde svejsning]]</f>
        <v>371.24999999999994</v>
      </c>
      <c r="U7">
        <f>Tabel3[[#This Row],[Forbrug (WH)]]/Tabel3[[#This Row],[Vol svejsning mm]]</f>
        <v>0.1804713804713805</v>
      </c>
    </row>
    <row r="8" spans="1:21" x14ac:dyDescent="0.35">
      <c r="A8">
        <v>4</v>
      </c>
      <c r="B8" t="s">
        <v>90</v>
      </c>
      <c r="C8" t="s">
        <v>65</v>
      </c>
      <c r="D8">
        <v>165</v>
      </c>
      <c r="E8" t="s">
        <v>48</v>
      </c>
      <c r="F8">
        <v>3</v>
      </c>
      <c r="G8" t="s">
        <v>60</v>
      </c>
      <c r="H8">
        <v>100</v>
      </c>
      <c r="J8" t="s">
        <v>61</v>
      </c>
      <c r="K8" t="s">
        <v>62</v>
      </c>
      <c r="M8" t="s">
        <v>63</v>
      </c>
      <c r="N8">
        <v>10</v>
      </c>
      <c r="O8">
        <v>66.3</v>
      </c>
      <c r="P8">
        <f>Tabel3[[#This Row],[Forbrug (WH)]]/Tabel3[[#This Row],[Længde svejsning]]</f>
        <v>0.4018181818181818</v>
      </c>
      <c r="Q8">
        <v>195</v>
      </c>
      <c r="R8">
        <f t="shared" si="0"/>
        <v>0.33999999999999997</v>
      </c>
      <c r="S8">
        <f>((SQRT((POWER((Tabel3[[#This Row],[A mål]]/2),2)+(POWER((Tabel3[[#This Row],[A mål]]/2),2)))))*(SQRT((POWER((Tabel3[[#This Row],[A mål]]/2),2)+(POWER((Tabel3[[#This Row],[A mål]]/2),2))))))/2</f>
        <v>2.2499999999999996</v>
      </c>
      <c r="T8">
        <f>Tabel3[[#This Row],[Areal snit]]*Tabel3[[#This Row],[Længde svejsning]]</f>
        <v>371.24999999999994</v>
      </c>
      <c r="U8">
        <f>Tabel3[[#This Row],[Forbrug (WH)]]/Tabel3[[#This Row],[Vol svejsning mm]]</f>
        <v>0.1785858585858586</v>
      </c>
    </row>
    <row r="9" spans="1:21" x14ac:dyDescent="0.35">
      <c r="A9">
        <v>5</v>
      </c>
      <c r="B9" t="s">
        <v>90</v>
      </c>
      <c r="C9" t="s">
        <v>65</v>
      </c>
      <c r="D9">
        <v>165</v>
      </c>
      <c r="E9" t="s">
        <v>48</v>
      </c>
      <c r="F9">
        <v>3</v>
      </c>
      <c r="G9" t="s">
        <v>60</v>
      </c>
      <c r="H9">
        <v>100</v>
      </c>
      <c r="J9" t="s">
        <v>61</v>
      </c>
      <c r="K9" t="s">
        <v>62</v>
      </c>
      <c r="M9" t="s">
        <v>63</v>
      </c>
      <c r="N9">
        <v>10</v>
      </c>
      <c r="O9">
        <v>65.3</v>
      </c>
      <c r="P9">
        <f>Tabel3[[#This Row],[Forbrug (WH)]]/Tabel3[[#This Row],[Længde svejsning]]</f>
        <v>0.39575757575757575</v>
      </c>
      <c r="Q9">
        <v>196</v>
      </c>
      <c r="R9">
        <f t="shared" si="0"/>
        <v>0.33316326530612245</v>
      </c>
      <c r="S9">
        <f>((SQRT((POWER((Tabel3[[#This Row],[A mål]]/2),2)+(POWER((Tabel3[[#This Row],[A mål]]/2),2)))))*(SQRT((POWER((Tabel3[[#This Row],[A mål]]/2),2)+(POWER((Tabel3[[#This Row],[A mål]]/2),2))))))/2</f>
        <v>2.2499999999999996</v>
      </c>
      <c r="T9">
        <f>Tabel3[[#This Row],[Areal snit]]*Tabel3[[#This Row],[Længde svejsning]]</f>
        <v>371.24999999999994</v>
      </c>
      <c r="U9">
        <f>Tabel3[[#This Row],[Forbrug (WH)]]/Tabel3[[#This Row],[Vol svejsning mm]]</f>
        <v>0.17589225589225591</v>
      </c>
    </row>
    <row r="10" spans="1:21" x14ac:dyDescent="0.35">
      <c r="A10">
        <v>6</v>
      </c>
      <c r="B10" t="s">
        <v>90</v>
      </c>
      <c r="C10" t="s">
        <v>65</v>
      </c>
      <c r="D10">
        <v>165</v>
      </c>
      <c r="E10" t="s">
        <v>48</v>
      </c>
      <c r="F10">
        <v>3</v>
      </c>
      <c r="G10" t="s">
        <v>60</v>
      </c>
      <c r="H10">
        <v>100</v>
      </c>
      <c r="J10" t="s">
        <v>61</v>
      </c>
      <c r="K10" t="s">
        <v>62</v>
      </c>
      <c r="M10" t="s">
        <v>63</v>
      </c>
      <c r="N10">
        <v>10</v>
      </c>
      <c r="O10">
        <v>62.3</v>
      </c>
      <c r="P10">
        <f>Tabel3[[#This Row],[Forbrug (WH)]]/Tabel3[[#This Row],[Længde svejsning]]</f>
        <v>0.37757575757575756</v>
      </c>
      <c r="Q10">
        <v>198</v>
      </c>
      <c r="R10">
        <f t="shared" si="0"/>
        <v>0.31464646464646462</v>
      </c>
      <c r="S10">
        <f>((SQRT((POWER((Tabel3[[#This Row],[A mål]]/2),2)+(POWER((Tabel3[[#This Row],[A mål]]/2),2)))))*(SQRT((POWER((Tabel3[[#This Row],[A mål]]/2),2)+(POWER((Tabel3[[#This Row],[A mål]]/2),2))))))/2</f>
        <v>2.2499999999999996</v>
      </c>
      <c r="T10">
        <f>Tabel3[[#This Row],[Areal snit]]*Tabel3[[#This Row],[Længde svejsning]]</f>
        <v>371.24999999999994</v>
      </c>
      <c r="U10">
        <f>Tabel3[[#This Row],[Forbrug (WH)]]/Tabel3[[#This Row],[Vol svejsning mm]]</f>
        <v>0.16781144781144783</v>
      </c>
    </row>
    <row r="11" spans="1:21" x14ac:dyDescent="0.35">
      <c r="A11" s="2" t="s">
        <v>58</v>
      </c>
      <c r="B11" t="s">
        <v>90</v>
      </c>
      <c r="C11" t="s">
        <v>65</v>
      </c>
      <c r="D11">
        <v>165</v>
      </c>
      <c r="E11" t="s">
        <v>48</v>
      </c>
      <c r="F11">
        <v>3</v>
      </c>
      <c r="G11" t="s">
        <v>60</v>
      </c>
      <c r="H11">
        <v>100</v>
      </c>
      <c r="J11" t="s">
        <v>61</v>
      </c>
      <c r="K11" t="s">
        <v>62</v>
      </c>
      <c r="M11" t="s">
        <v>63</v>
      </c>
      <c r="N11">
        <v>10</v>
      </c>
      <c r="O11">
        <f>(O7+O8+O9+O10)/4</f>
        <v>65.225000000000009</v>
      </c>
      <c r="P11">
        <f>Tabel3[[#This Row],[Forbrug (WH)]]/Tabel3[[#This Row],[Længde svejsning]]</f>
        <v>0.39530303030303038</v>
      </c>
      <c r="Q11">
        <f>(Q7+Q8+Q9+Q10)/4</f>
        <v>194.75</v>
      </c>
      <c r="R11">
        <f>(R7+R8+R9+R10)/4</f>
        <v>0.33511032722498885</v>
      </c>
      <c r="S11">
        <f>((SQRT((POWER((Tabel3[[#This Row],[A mål]]/2),2)+(POWER((Tabel3[[#This Row],[A mål]]/2),2)))))*(SQRT((POWER((Tabel3[[#This Row],[A mål]]/2),2)+(POWER((Tabel3[[#This Row],[A mål]]/2),2))))))/2</f>
        <v>2.2499999999999996</v>
      </c>
      <c r="T11">
        <f>Tabel3[[#This Row],[Areal snit]]*Tabel3[[#This Row],[Længde svejsning]]</f>
        <v>371.24999999999994</v>
      </c>
      <c r="U11">
        <f>Tabel3[[#This Row],[Forbrug (WH)]]/Tabel3[[#This Row],[Vol svejsning mm]]</f>
        <v>0.17569023569023573</v>
      </c>
    </row>
    <row r="12" spans="1:21" x14ac:dyDescent="0.35">
      <c r="A12">
        <v>1</v>
      </c>
      <c r="B12" t="s">
        <v>52</v>
      </c>
      <c r="C12" t="s">
        <v>72</v>
      </c>
      <c r="D12">
        <v>165</v>
      </c>
      <c r="E12" t="s">
        <v>48</v>
      </c>
      <c r="F12">
        <v>1</v>
      </c>
      <c r="G12">
        <v>10.8</v>
      </c>
      <c r="H12">
        <v>100</v>
      </c>
      <c r="J12" t="s">
        <v>61</v>
      </c>
      <c r="K12" t="s">
        <v>62</v>
      </c>
      <c r="L12">
        <v>1.6</v>
      </c>
      <c r="M12" t="s">
        <v>63</v>
      </c>
      <c r="N12">
        <v>10</v>
      </c>
      <c r="O12">
        <v>16</v>
      </c>
      <c r="P12">
        <f>Tabel313[[#This Row],[Forbrug (WH)]]/Tabel313[[#This Row],[Længde svejsning]]</f>
        <v>0.34424242424242424</v>
      </c>
      <c r="Q12">
        <v>50</v>
      </c>
      <c r="R12">
        <f t="shared" ref="R12:R16" si="1">O12/Q12</f>
        <v>0.32</v>
      </c>
      <c r="S12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2">
        <f>Tabel313[[#This Row],[Areal snit]]*Tabel313[[#This Row],[Længde svejsning]]</f>
        <v>2062.5000000000005</v>
      </c>
      <c r="U12">
        <f>Tabel313[[#This Row],[Forbrug (WH)]]/Tabel313[[#This Row],[Vol svejsning mm]]</f>
        <v>5.5078787878787866E-2</v>
      </c>
    </row>
    <row r="13" spans="1:21" x14ac:dyDescent="0.35">
      <c r="A13">
        <v>2</v>
      </c>
      <c r="B13" t="s">
        <v>52</v>
      </c>
      <c r="C13" t="s">
        <v>72</v>
      </c>
      <c r="D13">
        <v>165</v>
      </c>
      <c r="E13" t="s">
        <v>48</v>
      </c>
      <c r="F13">
        <v>1</v>
      </c>
      <c r="G13">
        <v>10.8</v>
      </c>
      <c r="H13">
        <v>100</v>
      </c>
      <c r="J13" t="s">
        <v>61</v>
      </c>
      <c r="K13" t="s">
        <v>62</v>
      </c>
      <c r="L13">
        <v>1.6</v>
      </c>
      <c r="M13" t="s">
        <v>63</v>
      </c>
      <c r="N13">
        <v>10</v>
      </c>
      <c r="O13">
        <v>19</v>
      </c>
      <c r="P13">
        <f>Tabel313[[#This Row],[Forbrug (WH)]]/Tabel313[[#This Row],[Længde svejsning]]</f>
        <v>0.36969696969696969</v>
      </c>
      <c r="Q13">
        <v>60</v>
      </c>
      <c r="R13">
        <f t="shared" si="1"/>
        <v>0.31666666666666665</v>
      </c>
      <c r="S13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3">
        <f>Tabel313[[#This Row],[Areal snit]]*Tabel313[[#This Row],[Længde svejsning]]</f>
        <v>2062.5000000000005</v>
      </c>
      <c r="U13">
        <f>Tabel313[[#This Row],[Forbrug (WH)]]/Tabel313[[#This Row],[Vol svejsning mm]]</f>
        <v>5.9151515151515136E-2</v>
      </c>
    </row>
    <row r="14" spans="1:21" x14ac:dyDescent="0.35">
      <c r="A14">
        <v>3</v>
      </c>
      <c r="B14" t="s">
        <v>52</v>
      </c>
      <c r="C14" t="s">
        <v>72</v>
      </c>
      <c r="D14">
        <v>165</v>
      </c>
      <c r="E14" t="s">
        <v>48</v>
      </c>
      <c r="F14">
        <v>1</v>
      </c>
      <c r="G14">
        <v>10.8</v>
      </c>
      <c r="H14">
        <v>100</v>
      </c>
      <c r="J14" t="s">
        <v>61</v>
      </c>
      <c r="K14" t="s">
        <v>62</v>
      </c>
      <c r="L14">
        <v>1.6</v>
      </c>
      <c r="M14" t="s">
        <v>63</v>
      </c>
      <c r="N14">
        <v>10</v>
      </c>
      <c r="O14">
        <v>16</v>
      </c>
      <c r="P14">
        <f>Tabel313[[#This Row],[Forbrug (WH)]]/Tabel313[[#This Row],[Længde svejsning]]</f>
        <v>0.37575757575757573</v>
      </c>
      <c r="Q14">
        <v>48</v>
      </c>
      <c r="R14">
        <f t="shared" si="1"/>
        <v>0.33333333333333331</v>
      </c>
      <c r="S14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4">
        <f>Tabel313[[#This Row],[Areal snit]]*Tabel313[[#This Row],[Længde svejsning]]</f>
        <v>2062.5000000000005</v>
      </c>
      <c r="U14">
        <f>Tabel313[[#This Row],[Forbrug (WH)]]/Tabel313[[#This Row],[Vol svejsning mm]]</f>
        <v>6.012121212121211E-2</v>
      </c>
    </row>
    <row r="15" spans="1:21" x14ac:dyDescent="0.35">
      <c r="A15">
        <v>4</v>
      </c>
      <c r="B15" t="s">
        <v>52</v>
      </c>
      <c r="C15" t="s">
        <v>72</v>
      </c>
      <c r="D15">
        <v>165</v>
      </c>
      <c r="E15" t="s">
        <v>48</v>
      </c>
      <c r="F15">
        <v>1</v>
      </c>
      <c r="G15">
        <v>10.8</v>
      </c>
      <c r="H15">
        <v>100</v>
      </c>
      <c r="J15" t="s">
        <v>61</v>
      </c>
      <c r="K15" t="s">
        <v>62</v>
      </c>
      <c r="L15">
        <v>1.6</v>
      </c>
      <c r="M15" t="s">
        <v>63</v>
      </c>
      <c r="N15">
        <v>10</v>
      </c>
      <c r="O15">
        <v>16</v>
      </c>
      <c r="P15">
        <f>Tabel313[[#This Row],[Forbrug (WH)]]/Tabel313[[#This Row],[Længde svejsning]]</f>
        <v>0.33333333333333331</v>
      </c>
      <c r="Q15">
        <v>50</v>
      </c>
      <c r="R15">
        <f t="shared" si="1"/>
        <v>0.32</v>
      </c>
      <c r="S15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5">
        <f>Tabel313[[#This Row],[Areal snit]]*Tabel313[[#This Row],[Længde svejsning]]</f>
        <v>2062.5000000000005</v>
      </c>
      <c r="U15">
        <f>Tabel313[[#This Row],[Forbrug (WH)]]/Tabel313[[#This Row],[Vol svejsning mm]]</f>
        <v>5.3333333333333323E-2</v>
      </c>
    </row>
    <row r="16" spans="1:21" x14ac:dyDescent="0.35">
      <c r="A16">
        <v>5</v>
      </c>
      <c r="B16" t="s">
        <v>52</v>
      </c>
      <c r="C16" t="s">
        <v>72</v>
      </c>
      <c r="D16">
        <v>165</v>
      </c>
      <c r="E16" t="s">
        <v>48</v>
      </c>
      <c r="F16">
        <v>1</v>
      </c>
      <c r="G16">
        <v>10.8</v>
      </c>
      <c r="H16">
        <v>100</v>
      </c>
      <c r="J16" t="s">
        <v>61</v>
      </c>
      <c r="K16" t="s">
        <v>62</v>
      </c>
      <c r="L16">
        <v>1.6</v>
      </c>
      <c r="M16" t="s">
        <v>63</v>
      </c>
      <c r="N16">
        <v>10</v>
      </c>
      <c r="O16">
        <v>16</v>
      </c>
      <c r="P16">
        <f>Tabel313[[#This Row],[Forbrug (WH)]]/Tabel313[[#This Row],[Længde svejsning]]</f>
        <v>0.34848484848484851</v>
      </c>
      <c r="Q16">
        <v>55</v>
      </c>
      <c r="R16">
        <f t="shared" si="1"/>
        <v>0.29090909090909089</v>
      </c>
      <c r="S16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6">
        <f>Tabel313[[#This Row],[Areal snit]]*Tabel313[[#This Row],[Længde svejsning]]</f>
        <v>2062.5000000000005</v>
      </c>
      <c r="U16">
        <f>Tabel313[[#This Row],[Forbrug (WH)]]/Tabel313[[#This Row],[Vol svejsning mm]]</f>
        <v>5.5757575757575742E-2</v>
      </c>
    </row>
    <row r="17" spans="1:21" x14ac:dyDescent="0.35">
      <c r="A17" s="6" t="s">
        <v>58</v>
      </c>
      <c r="B17" s="2" t="s">
        <v>52</v>
      </c>
      <c r="C17" s="2" t="s">
        <v>65</v>
      </c>
      <c r="D17" s="2">
        <v>165</v>
      </c>
      <c r="E17" s="2" t="s">
        <v>48</v>
      </c>
      <c r="F17" s="2">
        <v>3</v>
      </c>
      <c r="G17" s="2" t="s">
        <v>60</v>
      </c>
      <c r="H17" s="2">
        <v>100</v>
      </c>
      <c r="I17" s="2"/>
      <c r="J17" s="2" t="s">
        <v>61</v>
      </c>
      <c r="K17" s="2" t="s">
        <v>62</v>
      </c>
      <c r="L17" s="2"/>
      <c r="M17" s="2" t="s">
        <v>63</v>
      </c>
      <c r="N17" s="2">
        <v>10</v>
      </c>
      <c r="O17" s="2">
        <f>(O13+O14+O15+O16)/4</f>
        <v>16.75</v>
      </c>
      <c r="P17" s="2">
        <f>Tabel313[[#This Row],[Forbrug (WH)]]/Tabel313[[#This Row],[Længde svejsning]]</f>
        <v>0.35430303030303029</v>
      </c>
      <c r="Q17" s="2">
        <f>(Q13+Q14+Q15+Q16)/4</f>
        <v>53.25</v>
      </c>
      <c r="R17" s="2">
        <f>(R13+R14+R15+R16)/4</f>
        <v>0.31522727272727269</v>
      </c>
      <c r="S17" s="2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7" s="2">
        <f>Tabel313[[#This Row],[Areal snit]]*Tabel313[[#This Row],[Længde svejsning]]</f>
        <v>2062.5000000000005</v>
      </c>
      <c r="U17" s="2">
        <f>Tabel313[[#This Row],[Forbrug (WH)]]/Tabel313[[#This Row],[Vol svejsning mm]]</f>
        <v>5.6688484848484835E-2</v>
      </c>
    </row>
    <row r="19" spans="1:21" x14ac:dyDescent="0.35">
      <c r="S19">
        <f>((SQRT((POWER((Tabel1[[#This Row],[A mål]]/2),2)+(POWER((Tabel1[[#This Row],[A mål]]/2),2)))))*(SQRT((POWER((Tabel1[[#This Row],[A mål]]/2),2)+(POWER((Tabel1[[#This Row],[A mål]]/2),2))))))/2</f>
        <v>6.2500000000000009</v>
      </c>
      <c r="T19">
        <f>Tabel1[[#This Row],[Areal snit]]*Tabel1[[#This Row],[Længde svejsning]]</f>
        <v>2062.5000000000005</v>
      </c>
      <c r="U19">
        <f>Tabel1[[#This Row],[Forbrug (WH)]]/Tabel1[[#This Row],[Vol svejsning mm]]</f>
        <v>5.6688484848484835E-2</v>
      </c>
    </row>
    <row r="23" spans="1:21" x14ac:dyDescent="0.35">
      <c r="P23" s="4"/>
    </row>
    <row r="24" spans="1:21" x14ac:dyDescent="0.35">
      <c r="P24" s="4"/>
    </row>
  </sheetData>
  <mergeCells count="1">
    <mergeCell ref="C1:R2"/>
  </mergeCells>
  <phoneticPr fontId="2" type="noConversion"/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C4316-8248-4D80-BDDA-9B02A6F70B24}">
  <sheetPr codeName="Ark7"/>
  <dimension ref="A1:U18"/>
  <sheetViews>
    <sheetView zoomScale="70" zoomScaleNormal="70" workbookViewId="0">
      <selection activeCell="M42" sqref="M42"/>
    </sheetView>
  </sheetViews>
  <sheetFormatPr defaultRowHeight="14.5" x14ac:dyDescent="0.35"/>
  <cols>
    <col min="1" max="2" width="8.7265625" bestFit="1" customWidth="1"/>
    <col min="3" max="3" width="19" bestFit="1" customWidth="1"/>
    <col min="4" max="4" width="18.26953125" bestFit="1" customWidth="1"/>
    <col min="5" max="5" width="16.453125" bestFit="1" customWidth="1"/>
    <col min="6" max="6" width="8" bestFit="1" customWidth="1"/>
    <col min="7" max="7" width="15.7265625" bestFit="1" customWidth="1"/>
    <col min="8" max="8" width="19" bestFit="1" customWidth="1"/>
    <col min="9" max="9" width="23.81640625" bestFit="1" customWidth="1"/>
    <col min="10" max="10" width="6.7265625" bestFit="1" customWidth="1"/>
    <col min="11" max="11" width="10.7265625" bestFit="1" customWidth="1"/>
    <col min="12" max="12" width="16.26953125" bestFit="1" customWidth="1"/>
    <col min="13" max="13" width="10.26953125" bestFit="1" customWidth="1"/>
    <col min="14" max="14" width="20.54296875" bestFit="1" customWidth="1"/>
    <col min="15" max="15" width="14.54296875" bestFit="1" customWidth="1"/>
    <col min="16" max="16" width="16" bestFit="1" customWidth="1"/>
    <col min="17" max="17" width="5.7265625" bestFit="1" customWidth="1"/>
    <col min="18" max="18" width="12" bestFit="1" customWidth="1"/>
    <col min="19" max="19" width="11" bestFit="1" customWidth="1"/>
    <col min="20" max="20" width="18.1796875" bestFit="1" customWidth="1"/>
    <col min="21" max="21" width="16.81640625" bestFit="1" customWidth="1"/>
  </cols>
  <sheetData>
    <row r="1" spans="1:21" x14ac:dyDescent="0.35">
      <c r="C1" s="45" t="s">
        <v>76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1:21" x14ac:dyDescent="0.3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4" spans="1:21" x14ac:dyDescent="0.35">
      <c r="A4" t="s">
        <v>21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 t="s">
        <v>38</v>
      </c>
      <c r="S4" t="s">
        <v>39</v>
      </c>
      <c r="T4" t="s">
        <v>40</v>
      </c>
      <c r="U4" t="s">
        <v>41</v>
      </c>
    </row>
    <row r="5" spans="1:21" x14ac:dyDescent="0.35">
      <c r="A5" s="1">
        <v>1</v>
      </c>
      <c r="B5" s="1"/>
      <c r="C5" s="1" t="s">
        <v>47</v>
      </c>
      <c r="D5" s="1"/>
      <c r="E5" s="1" t="s">
        <v>48</v>
      </c>
      <c r="F5" s="1">
        <v>3</v>
      </c>
      <c r="G5" s="1"/>
      <c r="H5" s="1"/>
      <c r="I5" s="1"/>
      <c r="J5" s="1"/>
      <c r="K5" s="1" t="s">
        <v>50</v>
      </c>
      <c r="L5" s="1">
        <v>0.8</v>
      </c>
      <c r="M5" s="1"/>
      <c r="N5" s="1"/>
      <c r="O5" s="1"/>
      <c r="P5" s="1"/>
      <c r="Q5" s="1"/>
      <c r="R5" s="1"/>
      <c r="S5" s="1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5" s="1">
        <f>Tabel313[[#This Row],[Areal snit]]*Tabel313[[#This Row],[Længde svejsning]]</f>
        <v>742.49999999999989</v>
      </c>
      <c r="U5" s="1">
        <f>Tabel158[[#This Row],[Forbrug (WH)]]/Tabel158[[#This Row],[Vol svejsning mm]]</f>
        <v>0</v>
      </c>
    </row>
    <row r="6" spans="1:21" x14ac:dyDescent="0.35">
      <c r="A6" s="1">
        <v>2</v>
      </c>
      <c r="B6" s="1"/>
      <c r="C6" s="1" t="s">
        <v>47</v>
      </c>
      <c r="D6" s="1"/>
      <c r="E6" s="1" t="s">
        <v>48</v>
      </c>
      <c r="F6" s="1">
        <v>3</v>
      </c>
      <c r="G6" s="1"/>
      <c r="H6" s="1"/>
      <c r="I6" s="1"/>
      <c r="J6" s="1"/>
      <c r="K6" s="1" t="s">
        <v>50</v>
      </c>
      <c r="L6" s="1">
        <v>0.8</v>
      </c>
      <c r="M6" s="1"/>
      <c r="N6" s="1"/>
      <c r="O6" s="1"/>
      <c r="P6" s="1"/>
      <c r="Q6" s="1"/>
      <c r="R6" s="1" t="e">
        <f t="shared" ref="R6:R11" si="0">O6/Q6</f>
        <v>#DIV/0!</v>
      </c>
      <c r="S6" s="1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6" s="1">
        <f>Tabel313[[#This Row],[Areal snit]]*Tabel313[[#This Row],[Længde svejsning]]</f>
        <v>742.49999999999989</v>
      </c>
      <c r="U6" s="1">
        <f>Tabel158[[#This Row],[Forbrug (WH)]]/Tabel158[[#This Row],[Vol svejsning mm]]</f>
        <v>0</v>
      </c>
    </row>
    <row r="7" spans="1:21" x14ac:dyDescent="0.35">
      <c r="A7">
        <v>3</v>
      </c>
      <c r="C7" t="s">
        <v>47</v>
      </c>
      <c r="D7">
        <v>165</v>
      </c>
      <c r="E7" t="s">
        <v>48</v>
      </c>
      <c r="F7">
        <v>3</v>
      </c>
      <c r="G7">
        <v>10.8</v>
      </c>
      <c r="H7">
        <v>100</v>
      </c>
      <c r="J7" t="s">
        <v>61</v>
      </c>
      <c r="K7" t="s">
        <v>62</v>
      </c>
      <c r="L7">
        <v>1.6</v>
      </c>
      <c r="M7" t="s">
        <v>63</v>
      </c>
      <c r="N7">
        <v>10</v>
      </c>
      <c r="O7">
        <v>78.599999999999994</v>
      </c>
      <c r="P7">
        <f>Tabel158[[#This Row],[Forbrug (WH)]]/Tabel158[[#This Row],[Længde svejsning]]</f>
        <v>0.47636363636363632</v>
      </c>
      <c r="Q7">
        <v>190</v>
      </c>
      <c r="R7">
        <f t="shared" si="0"/>
        <v>0.41368421052631577</v>
      </c>
      <c r="S7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7">
        <f>Tabel313[[#This Row],[Areal snit]]*Tabel313[[#This Row],[Længde svejsning]]</f>
        <v>742.49999999999989</v>
      </c>
      <c r="U7">
        <f>Tabel158[[#This Row],[Forbrug (WH)]]/Tabel158[[#This Row],[Vol svejsning mm]]</f>
        <v>0.10585858585858586</v>
      </c>
    </row>
    <row r="8" spans="1:21" x14ac:dyDescent="0.35">
      <c r="A8">
        <v>4</v>
      </c>
      <c r="C8" t="s">
        <v>47</v>
      </c>
      <c r="D8">
        <v>165</v>
      </c>
      <c r="E8" t="s">
        <v>48</v>
      </c>
      <c r="F8">
        <v>3</v>
      </c>
      <c r="G8">
        <v>10.8</v>
      </c>
      <c r="H8">
        <v>100</v>
      </c>
      <c r="J8" t="s">
        <v>61</v>
      </c>
      <c r="K8" t="s">
        <v>62</v>
      </c>
      <c r="L8">
        <v>1.6</v>
      </c>
      <c r="M8" t="s">
        <v>63</v>
      </c>
      <c r="N8">
        <v>8</v>
      </c>
      <c r="O8">
        <v>82.3</v>
      </c>
      <c r="P8">
        <f>Tabel158[[#This Row],[Forbrug (WH)]]/Tabel158[[#This Row],[Længde svejsning]]</f>
        <v>0.49878787878787878</v>
      </c>
      <c r="Q8">
        <v>188</v>
      </c>
      <c r="R8">
        <f t="shared" si="0"/>
        <v>0.43776595744680852</v>
      </c>
      <c r="S8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8">
        <f>Tabel313[[#This Row],[Areal snit]]*Tabel313[[#This Row],[Længde svejsning]]</f>
        <v>742.49999999999989</v>
      </c>
      <c r="U8">
        <f>Tabel158[[#This Row],[Forbrug (WH)]]/Tabel158[[#This Row],[Vol svejsning mm]]</f>
        <v>0.11084175084175085</v>
      </c>
    </row>
    <row r="9" spans="1:21" x14ac:dyDescent="0.35">
      <c r="A9">
        <v>5</v>
      </c>
      <c r="C9" t="s">
        <v>47</v>
      </c>
      <c r="D9">
        <v>165</v>
      </c>
      <c r="E9" t="s">
        <v>48</v>
      </c>
      <c r="F9">
        <v>3</v>
      </c>
      <c r="G9">
        <v>10.8</v>
      </c>
      <c r="H9">
        <v>100</v>
      </c>
      <c r="J9" t="s">
        <v>61</v>
      </c>
      <c r="K9" t="s">
        <v>62</v>
      </c>
      <c r="L9">
        <v>1.6</v>
      </c>
      <c r="M9" t="s">
        <v>63</v>
      </c>
      <c r="N9">
        <v>8</v>
      </c>
      <c r="O9">
        <v>75.7</v>
      </c>
      <c r="P9">
        <f>Tabel158[[#This Row],[Forbrug (WH)]]/Tabel158[[#This Row],[Længde svejsning]]</f>
        <v>0.4587878787878788</v>
      </c>
      <c r="Q9">
        <v>199</v>
      </c>
      <c r="R9">
        <f t="shared" si="0"/>
        <v>0.38040201005025126</v>
      </c>
      <c r="S9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9">
        <f>Tabel313[[#This Row],[Areal snit]]*Tabel313[[#This Row],[Længde svejsning]]</f>
        <v>742.49999999999989</v>
      </c>
      <c r="U9">
        <f>Tabel158[[#This Row],[Forbrug (WH)]]/Tabel158[[#This Row],[Vol svejsning mm]]</f>
        <v>0.10195286195286198</v>
      </c>
    </row>
    <row r="10" spans="1:21" x14ac:dyDescent="0.35">
      <c r="A10">
        <v>6</v>
      </c>
      <c r="C10" t="s">
        <v>47</v>
      </c>
      <c r="D10">
        <v>165</v>
      </c>
      <c r="E10" t="s">
        <v>48</v>
      </c>
      <c r="F10">
        <v>3</v>
      </c>
      <c r="G10">
        <v>10.8</v>
      </c>
      <c r="H10">
        <v>100</v>
      </c>
      <c r="J10" t="s">
        <v>61</v>
      </c>
      <c r="K10" t="s">
        <v>62</v>
      </c>
      <c r="L10">
        <v>1.6</v>
      </c>
      <c r="M10" t="s">
        <v>63</v>
      </c>
      <c r="N10">
        <v>8</v>
      </c>
      <c r="O10">
        <v>73</v>
      </c>
      <c r="P10">
        <f>Tabel158[[#This Row],[Forbrug (WH)]]/Tabel158[[#This Row],[Længde svejsning]]</f>
        <v>0.44242424242424244</v>
      </c>
      <c r="Q10">
        <v>173</v>
      </c>
      <c r="R10">
        <f t="shared" si="0"/>
        <v>0.42196531791907516</v>
      </c>
      <c r="S10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10">
        <f>Tabel313[[#This Row],[Areal snit]]*Tabel313[[#This Row],[Længde svejsning]]</f>
        <v>742.49999999999989</v>
      </c>
      <c r="U10">
        <f>Tabel158[[#This Row],[Forbrug (WH)]]/Tabel158[[#This Row],[Vol svejsning mm]]</f>
        <v>9.831649831649833E-2</v>
      </c>
    </row>
    <row r="11" spans="1:21" x14ac:dyDescent="0.35">
      <c r="A11">
        <v>7</v>
      </c>
      <c r="C11" t="s">
        <v>47</v>
      </c>
      <c r="D11">
        <v>165</v>
      </c>
      <c r="E11" t="s">
        <v>48</v>
      </c>
      <c r="F11">
        <v>3</v>
      </c>
      <c r="G11">
        <v>10.8</v>
      </c>
      <c r="H11">
        <v>100</v>
      </c>
      <c r="J11" t="s">
        <v>61</v>
      </c>
      <c r="K11" t="s">
        <v>62</v>
      </c>
      <c r="L11">
        <v>1.6</v>
      </c>
      <c r="M11" t="s">
        <v>63</v>
      </c>
      <c r="N11">
        <v>8</v>
      </c>
      <c r="O11">
        <v>74.599999999999994</v>
      </c>
      <c r="P11">
        <f>Tabel158[[#This Row],[Forbrug (WH)]]/Tabel158[[#This Row],[Længde svejsning]]</f>
        <v>0.45212121212121209</v>
      </c>
      <c r="Q11">
        <v>182</v>
      </c>
      <c r="R11">
        <f t="shared" si="0"/>
        <v>0.40989010989010988</v>
      </c>
      <c r="S11">
        <f>((SQRT((POWER((Tabel313[[#This Row],[A mål]]/2),2)+(POWER((Tabel313[[#This Row],[A mål]]/2),2)))))*(SQRT((POWER((Tabel313[[#This Row],[A mål]]/2),2)+(POWER((Tabel313[[#This Row],[A mål]]/2),2))))))/2</f>
        <v>2.2499999999999996</v>
      </c>
      <c r="T11">
        <f>Tabel313[[#This Row],[Areal snit]]*Tabel313[[#This Row],[Længde svejsning]]</f>
        <v>742.49999999999989</v>
      </c>
      <c r="U11">
        <f>Tabel158[[#This Row],[Forbrug (WH)]]/Tabel158[[#This Row],[Vol svejsning mm]]</f>
        <v>0.10047138047138048</v>
      </c>
    </row>
    <row r="12" spans="1:21" x14ac:dyDescent="0.35">
      <c r="A12" s="2" t="s">
        <v>58</v>
      </c>
      <c r="B12" s="2"/>
      <c r="C12" s="2" t="s">
        <v>47</v>
      </c>
      <c r="D12" s="2">
        <v>165</v>
      </c>
      <c r="E12" s="2" t="s">
        <v>48</v>
      </c>
      <c r="F12" s="2">
        <v>3</v>
      </c>
      <c r="G12" s="2">
        <v>10.8</v>
      </c>
      <c r="H12" s="2">
        <v>100</v>
      </c>
      <c r="I12" s="2"/>
      <c r="J12" s="2" t="s">
        <v>61</v>
      </c>
      <c r="K12" s="2" t="s">
        <v>50</v>
      </c>
      <c r="L12" s="2">
        <v>1.6</v>
      </c>
      <c r="M12" s="2" t="s">
        <v>63</v>
      </c>
      <c r="N12" s="2">
        <v>8</v>
      </c>
      <c r="O12" s="2">
        <f>(O7+O8+O9+O10+O11)/5</f>
        <v>76.839999999999989</v>
      </c>
      <c r="P12" s="2">
        <f>Tabel158[[#This Row],[Forbrug (WH)]]/Tabel158[[#This Row],[Længde svejsning]]</f>
        <v>0.46569696969696961</v>
      </c>
      <c r="Q12" s="2">
        <f>(Q7+Q8+Q9+Q10+Q11)/5</f>
        <v>186.4</v>
      </c>
      <c r="R12" s="2">
        <f>(R7+R8+R9+R10+R11)/5</f>
        <v>0.41274152116651208</v>
      </c>
      <c r="S12" s="2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2" s="2">
        <f>Tabel313[[#This Row],[Areal snit]]*Tabel313[[#This Row],[Længde svejsning]]</f>
        <v>2062.5000000000005</v>
      </c>
      <c r="U12" s="2">
        <f>Tabel158[[#This Row],[Forbrug (WH)]]/Tabel158[[#This Row],[Vol svejsning mm]]</f>
        <v>3.725575757575756E-2</v>
      </c>
    </row>
    <row r="13" spans="1:21" x14ac:dyDescent="0.35">
      <c r="A13">
        <v>1</v>
      </c>
      <c r="B13" t="s">
        <v>52</v>
      </c>
      <c r="C13" t="s">
        <v>72</v>
      </c>
      <c r="D13">
        <v>165</v>
      </c>
      <c r="E13" t="s">
        <v>48</v>
      </c>
      <c r="F13">
        <v>1</v>
      </c>
      <c r="G13">
        <v>10.8</v>
      </c>
      <c r="H13">
        <v>100</v>
      </c>
      <c r="J13" t="s">
        <v>61</v>
      </c>
      <c r="K13" t="s">
        <v>62</v>
      </c>
      <c r="L13">
        <v>1.6</v>
      </c>
      <c r="M13" t="s">
        <v>63</v>
      </c>
      <c r="N13">
        <v>10</v>
      </c>
      <c r="O13">
        <v>16</v>
      </c>
      <c r="P13">
        <f>Tabel313[[#This Row],[Forbrug (WH)]]/Tabel313[[#This Row],[Længde svejsning]]</f>
        <v>0.36969696969696969</v>
      </c>
      <c r="Q13">
        <v>50</v>
      </c>
      <c r="R13">
        <f t="shared" ref="R13:R17" si="1">O13/Q13</f>
        <v>0.32</v>
      </c>
      <c r="S13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3">
        <f>Tabel313[[#This Row],[Areal snit]]*Tabel313[[#This Row],[Længde svejsning]]</f>
        <v>2062.5000000000005</v>
      </c>
      <c r="U13">
        <f>Tabel313[[#This Row],[Forbrug (WH)]]/Tabel313[[#This Row],[Vol svejsning mm]]</f>
        <v>5.9151515151515136E-2</v>
      </c>
    </row>
    <row r="14" spans="1:21" x14ac:dyDescent="0.35">
      <c r="A14">
        <v>2</v>
      </c>
      <c r="B14" t="s">
        <v>52</v>
      </c>
      <c r="C14" t="s">
        <v>72</v>
      </c>
      <c r="D14">
        <v>165</v>
      </c>
      <c r="E14" t="s">
        <v>48</v>
      </c>
      <c r="F14">
        <v>1</v>
      </c>
      <c r="G14">
        <v>10.8</v>
      </c>
      <c r="H14">
        <v>100</v>
      </c>
      <c r="J14" t="s">
        <v>61</v>
      </c>
      <c r="K14" t="s">
        <v>62</v>
      </c>
      <c r="L14">
        <v>1.6</v>
      </c>
      <c r="M14" t="s">
        <v>63</v>
      </c>
      <c r="N14">
        <v>10</v>
      </c>
      <c r="O14">
        <v>19</v>
      </c>
      <c r="P14">
        <f>Tabel313[[#This Row],[Forbrug (WH)]]/Tabel313[[#This Row],[Længde svejsning]]</f>
        <v>0.37575757575757573</v>
      </c>
      <c r="Q14">
        <v>60</v>
      </c>
      <c r="R14">
        <f t="shared" si="1"/>
        <v>0.31666666666666665</v>
      </c>
      <c r="S14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4">
        <f>Tabel313[[#This Row],[Areal snit]]*Tabel313[[#This Row],[Længde svejsning]]</f>
        <v>2062.5000000000005</v>
      </c>
      <c r="U14">
        <f>Tabel313[[#This Row],[Forbrug (WH)]]/Tabel313[[#This Row],[Vol svejsning mm]]</f>
        <v>6.012121212121211E-2</v>
      </c>
    </row>
    <row r="15" spans="1:21" x14ac:dyDescent="0.35">
      <c r="A15">
        <v>3</v>
      </c>
      <c r="B15" t="s">
        <v>52</v>
      </c>
      <c r="C15" t="s">
        <v>72</v>
      </c>
      <c r="D15">
        <v>165</v>
      </c>
      <c r="E15" t="s">
        <v>48</v>
      </c>
      <c r="F15">
        <v>1</v>
      </c>
      <c r="G15">
        <v>10.8</v>
      </c>
      <c r="H15">
        <v>100</v>
      </c>
      <c r="J15" t="s">
        <v>61</v>
      </c>
      <c r="K15" t="s">
        <v>62</v>
      </c>
      <c r="L15">
        <v>1.6</v>
      </c>
      <c r="M15" t="s">
        <v>63</v>
      </c>
      <c r="N15">
        <v>10</v>
      </c>
      <c r="O15">
        <v>16</v>
      </c>
      <c r="P15">
        <f>Tabel313[[#This Row],[Forbrug (WH)]]/Tabel313[[#This Row],[Længde svejsning]]</f>
        <v>0.33333333333333331</v>
      </c>
      <c r="Q15">
        <v>48</v>
      </c>
      <c r="R15">
        <f t="shared" si="1"/>
        <v>0.33333333333333331</v>
      </c>
      <c r="S15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5">
        <f>Tabel313[[#This Row],[Areal snit]]*Tabel313[[#This Row],[Længde svejsning]]</f>
        <v>2062.5000000000005</v>
      </c>
      <c r="U15">
        <f>Tabel313[[#This Row],[Forbrug (WH)]]/Tabel313[[#This Row],[Vol svejsning mm]]</f>
        <v>5.3333333333333323E-2</v>
      </c>
    </row>
    <row r="16" spans="1:21" x14ac:dyDescent="0.35">
      <c r="A16">
        <v>4</v>
      </c>
      <c r="B16" t="s">
        <v>52</v>
      </c>
      <c r="C16" t="s">
        <v>72</v>
      </c>
      <c r="D16">
        <v>165</v>
      </c>
      <c r="E16" t="s">
        <v>48</v>
      </c>
      <c r="F16">
        <v>1</v>
      </c>
      <c r="G16">
        <v>10.8</v>
      </c>
      <c r="H16">
        <v>100</v>
      </c>
      <c r="J16" t="s">
        <v>61</v>
      </c>
      <c r="K16" t="s">
        <v>62</v>
      </c>
      <c r="L16">
        <v>1.6</v>
      </c>
      <c r="M16" t="s">
        <v>63</v>
      </c>
      <c r="N16">
        <v>10</v>
      </c>
      <c r="O16">
        <v>16</v>
      </c>
      <c r="P16">
        <f>Tabel313[[#This Row],[Forbrug (WH)]]/Tabel313[[#This Row],[Længde svejsning]]</f>
        <v>0.34848484848484851</v>
      </c>
      <c r="Q16">
        <v>50</v>
      </c>
      <c r="R16">
        <f t="shared" si="1"/>
        <v>0.32</v>
      </c>
      <c r="S16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6">
        <f>Tabel313[[#This Row],[Areal snit]]*Tabel313[[#This Row],[Længde svejsning]]</f>
        <v>2062.5000000000005</v>
      </c>
      <c r="U16">
        <f>Tabel313[[#This Row],[Forbrug (WH)]]/Tabel313[[#This Row],[Vol svejsning mm]]</f>
        <v>5.5757575757575742E-2</v>
      </c>
    </row>
    <row r="17" spans="1:21" x14ac:dyDescent="0.35">
      <c r="A17">
        <v>5</v>
      </c>
      <c r="B17" t="s">
        <v>52</v>
      </c>
      <c r="C17" t="s">
        <v>72</v>
      </c>
      <c r="D17">
        <v>165</v>
      </c>
      <c r="E17" t="s">
        <v>48</v>
      </c>
      <c r="F17">
        <v>1</v>
      </c>
      <c r="G17">
        <v>10.8</v>
      </c>
      <c r="H17">
        <v>100</v>
      </c>
      <c r="J17" t="s">
        <v>61</v>
      </c>
      <c r="K17" t="s">
        <v>62</v>
      </c>
      <c r="L17">
        <v>1.6</v>
      </c>
      <c r="M17" t="s">
        <v>63</v>
      </c>
      <c r="N17">
        <v>10</v>
      </c>
      <c r="O17">
        <v>16</v>
      </c>
      <c r="P17">
        <f>Tabel313[[#This Row],[Forbrug (WH)]]/Tabel313[[#This Row],[Længde svejsning]]</f>
        <v>0.35430303030303029</v>
      </c>
      <c r="Q17">
        <v>55</v>
      </c>
      <c r="R17">
        <f t="shared" si="1"/>
        <v>0.29090909090909089</v>
      </c>
      <c r="S17">
        <f>((SQRT((POWER((Tabel313[[#This Row],[A mål]]/2),2)+(POWER((Tabel313[[#This Row],[A mål]]/2),2)))))*(SQRT((POWER((Tabel313[[#This Row],[A mål]]/2),2)+(POWER((Tabel313[[#This Row],[A mål]]/2),2))))))/2</f>
        <v>6.2500000000000009</v>
      </c>
      <c r="T17">
        <f>Tabel313[[#This Row],[Areal snit]]*Tabel313[[#This Row],[Længde svejsning]]</f>
        <v>2062.5000000000005</v>
      </c>
      <c r="U17">
        <f>Tabel313[[#This Row],[Forbrug (WH)]]/Tabel313[[#This Row],[Vol svejsning mm]]</f>
        <v>5.6688484848484835E-2</v>
      </c>
    </row>
    <row r="18" spans="1:21" x14ac:dyDescent="0.35">
      <c r="A18" s="6" t="s">
        <v>58</v>
      </c>
      <c r="B18" s="2" t="s">
        <v>52</v>
      </c>
      <c r="C18" s="2" t="s">
        <v>65</v>
      </c>
      <c r="D18" s="2">
        <v>165</v>
      </c>
      <c r="E18" s="2" t="s">
        <v>48</v>
      </c>
      <c r="F18" s="2">
        <v>3</v>
      </c>
      <c r="G18" s="2" t="s">
        <v>60</v>
      </c>
      <c r="H18" s="2">
        <v>100</v>
      </c>
      <c r="I18" s="2"/>
      <c r="J18" s="2" t="s">
        <v>61</v>
      </c>
      <c r="K18" s="2" t="s">
        <v>62</v>
      </c>
      <c r="L18" s="2"/>
      <c r="M18" s="2" t="s">
        <v>63</v>
      </c>
      <c r="N18" s="2">
        <v>10</v>
      </c>
      <c r="O18" s="2">
        <f>(O14+O15+O16+O17)/4</f>
        <v>16.75</v>
      </c>
      <c r="P18" s="2">
        <f>Tabel313[[#This Row],[Forbrug (WH)]]/Tabel313[[#This Row],[Længde svejsning]]</f>
        <v>0.23939393939393938</v>
      </c>
      <c r="Q18" s="2">
        <f>(Q14+Q15+Q16+Q17)/4</f>
        <v>53.25</v>
      </c>
      <c r="R18" s="2">
        <f>(R14+R15+R16+R17)/4</f>
        <v>0.31522727272727269</v>
      </c>
      <c r="S18" s="2">
        <f>((SQRT((POWER((Tabel313[[#This Row],[A mål]]/2),2)+(POWER((Tabel313[[#This Row],[A mål]]/2),2)))))*(SQRT((POWER((Tabel313[[#This Row],[A mål]]/2),2)+(POWER((Tabel313[[#This Row],[A mål]]/2),2))))))/2</f>
        <v>4.41</v>
      </c>
      <c r="T18" s="2">
        <f>Tabel313[[#This Row],[Areal snit]]*Tabel313[[#This Row],[Længde svejsning]]</f>
        <v>1455.3</v>
      </c>
      <c r="U18" s="2">
        <f>Tabel313[[#This Row],[Forbrug (WH)]]/Tabel313[[#This Row],[Vol svejsning mm]]</f>
        <v>5.4284339998625718E-2</v>
      </c>
    </row>
  </sheetData>
  <mergeCells count="1">
    <mergeCell ref="C1:N2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B176E-73E7-4D34-94C4-CFAD600FA0E9}">
  <sheetPr codeName="Ark8"/>
  <dimension ref="A1:T19"/>
  <sheetViews>
    <sheetView workbookViewId="0">
      <selection activeCell="C23" sqref="C23"/>
    </sheetView>
  </sheetViews>
  <sheetFormatPr defaultRowHeight="14.5" x14ac:dyDescent="0.35"/>
  <cols>
    <col min="2" max="2" width="19" bestFit="1" customWidth="1"/>
    <col min="3" max="3" width="16.1796875" bestFit="1" customWidth="1"/>
    <col min="4" max="4" width="13.81640625" bestFit="1" customWidth="1"/>
    <col min="6" max="6" width="12.54296875" bestFit="1" customWidth="1"/>
    <col min="7" max="7" width="15.7265625" bestFit="1" customWidth="1"/>
    <col min="8" max="8" width="20.453125" bestFit="1" customWidth="1"/>
    <col min="11" max="11" width="13.54296875" bestFit="1" customWidth="1"/>
    <col min="13" max="13" width="10.81640625" bestFit="1" customWidth="1"/>
    <col min="14" max="14" width="11.7265625" bestFit="1" customWidth="1"/>
    <col min="18" max="18" width="11" bestFit="1" customWidth="1"/>
    <col min="20" max="20" width="16.81640625" bestFit="1" customWidth="1"/>
  </cols>
  <sheetData>
    <row r="1" spans="1:20" x14ac:dyDescent="0.35">
      <c r="C1" s="45" t="s">
        <v>76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1:20" x14ac:dyDescent="0.3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4" spans="1:20" x14ac:dyDescent="0.35">
      <c r="A4" t="s">
        <v>21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37</v>
      </c>
      <c r="Q4" t="s">
        <v>38</v>
      </c>
      <c r="R4" t="s">
        <v>39</v>
      </c>
      <c r="S4" t="s">
        <v>40</v>
      </c>
      <c r="T4" t="s">
        <v>41</v>
      </c>
    </row>
    <row r="5" spans="1:20" x14ac:dyDescent="0.35">
      <c r="A5" s="1">
        <v>1</v>
      </c>
      <c r="B5" s="1"/>
      <c r="C5" s="1" t="s">
        <v>47</v>
      </c>
      <c r="D5" s="1"/>
      <c r="E5" s="1" t="s">
        <v>48</v>
      </c>
      <c r="F5" s="1">
        <v>3</v>
      </c>
      <c r="G5" s="1"/>
      <c r="H5" s="1"/>
      <c r="I5" s="1"/>
      <c r="J5" s="1"/>
      <c r="K5" s="1" t="s">
        <v>50</v>
      </c>
      <c r="L5" s="1">
        <v>0.8</v>
      </c>
      <c r="M5" s="1"/>
      <c r="N5" s="1"/>
      <c r="O5" s="1"/>
      <c r="P5" s="1"/>
      <c r="Q5" s="1"/>
      <c r="R5" s="1">
        <f>((SQRT((POWER((Tabel15[[#This Row],[A mål]]/2),2)+(POWER((Tabel15[[#This Row],[A mål]]/2),2)))))*(SQRT((POWER((Tabel15[[#This Row],[A mål]]/2),2)+(POWER((Tabel15[[#This Row],[A mål]]/2),2))))))/2</f>
        <v>2.2499999999999996</v>
      </c>
      <c r="S5" s="1">
        <f>Tabel15[[#This Row],[Areal snit]]*Tabel15[[#This Row],[Længde svejsning]]</f>
        <v>0</v>
      </c>
      <c r="T5" s="1" t="e">
        <f>Tabel15[[#This Row],[Forbrug (WH)]]/Tabel15[[#This Row],[Vol svejsning mm]]</f>
        <v>#DIV/0!</v>
      </c>
    </row>
    <row r="6" spans="1:20" x14ac:dyDescent="0.35">
      <c r="A6" s="1">
        <v>2</v>
      </c>
      <c r="B6" s="1"/>
      <c r="C6" s="1" t="s">
        <v>47</v>
      </c>
      <c r="D6" s="1"/>
      <c r="E6" s="1" t="s">
        <v>48</v>
      </c>
      <c r="F6" s="1">
        <v>3</v>
      </c>
      <c r="G6" s="1"/>
      <c r="H6" s="1"/>
      <c r="I6" s="1"/>
      <c r="J6" s="1"/>
      <c r="K6" s="1" t="s">
        <v>50</v>
      </c>
      <c r="L6" s="1">
        <v>0.8</v>
      </c>
      <c r="M6" s="1"/>
      <c r="N6" s="1"/>
      <c r="O6" s="1"/>
      <c r="P6" s="1"/>
      <c r="Q6" s="1" t="e">
        <f t="shared" ref="Q6:Q11" si="0">O6/P6</f>
        <v>#DIV/0!</v>
      </c>
      <c r="R6" s="1">
        <f>((SQRT((POWER((Tabel15[[#This Row],[A mål]]/2),2)+(POWER((Tabel15[[#This Row],[A mål]]/2),2)))))*(SQRT((POWER((Tabel15[[#This Row],[A mål]]/2),2)+(POWER((Tabel15[[#This Row],[A mål]]/2),2))))))/2</f>
        <v>2.2499999999999996</v>
      </c>
      <c r="S6" s="1">
        <f>Tabel15[[#This Row],[Areal snit]]*Tabel15[[#This Row],[Længde svejsning]]</f>
        <v>0</v>
      </c>
      <c r="T6" s="1" t="e">
        <f>Tabel15[[#This Row],[Forbrug (WH)]]/Tabel15[[#This Row],[Vol svejsning mm]]</f>
        <v>#DIV/0!</v>
      </c>
    </row>
    <row r="7" spans="1:20" x14ac:dyDescent="0.35">
      <c r="A7">
        <v>3</v>
      </c>
      <c r="C7" t="s">
        <v>47</v>
      </c>
      <c r="E7" t="s">
        <v>48</v>
      </c>
      <c r="F7">
        <v>3</v>
      </c>
      <c r="K7" t="s">
        <v>50</v>
      </c>
      <c r="L7">
        <v>0.8</v>
      </c>
      <c r="Q7" t="e">
        <f t="shared" si="0"/>
        <v>#DIV/0!</v>
      </c>
      <c r="R7">
        <f>((SQRT((POWER((Tabel15[[#This Row],[A mål]]/2),2)+(POWER((Tabel15[[#This Row],[A mål]]/2),2)))))*(SQRT((POWER((Tabel15[[#This Row],[A mål]]/2),2)+(POWER((Tabel15[[#This Row],[A mål]]/2),2))))))/2</f>
        <v>2.2499999999999996</v>
      </c>
      <c r="S7">
        <f>Tabel15[[#This Row],[Areal snit]]*Tabel15[[#This Row],[Længde svejsning]]</f>
        <v>0</v>
      </c>
      <c r="T7" t="e">
        <f>Tabel15[[#This Row],[Forbrug (WH)]]/Tabel15[[#This Row],[Vol svejsning mm]]</f>
        <v>#DIV/0!</v>
      </c>
    </row>
    <row r="8" spans="1:20" x14ac:dyDescent="0.35">
      <c r="A8">
        <v>4</v>
      </c>
      <c r="C8" t="s">
        <v>47</v>
      </c>
      <c r="E8" t="s">
        <v>48</v>
      </c>
      <c r="F8">
        <v>3</v>
      </c>
      <c r="K8" t="s">
        <v>50</v>
      </c>
      <c r="L8">
        <v>0.8</v>
      </c>
      <c r="Q8" t="e">
        <f t="shared" si="0"/>
        <v>#DIV/0!</v>
      </c>
      <c r="R8">
        <f>((SQRT((POWER((Tabel15[[#This Row],[A mål]]/2),2)+(POWER((Tabel15[[#This Row],[A mål]]/2),2)))))*(SQRT((POWER((Tabel15[[#This Row],[A mål]]/2),2)+(POWER((Tabel15[[#This Row],[A mål]]/2),2))))))/2</f>
        <v>2.2499999999999996</v>
      </c>
      <c r="S8">
        <f>Tabel15[[#This Row],[Areal snit]]*Tabel15[[#This Row],[Længde svejsning]]</f>
        <v>0</v>
      </c>
      <c r="T8" t="e">
        <f>Tabel15[[#This Row],[Forbrug (WH)]]/Tabel15[[#This Row],[Vol svejsning mm]]</f>
        <v>#DIV/0!</v>
      </c>
    </row>
    <row r="9" spans="1:20" x14ac:dyDescent="0.35">
      <c r="A9">
        <v>5</v>
      </c>
      <c r="C9" t="s">
        <v>47</v>
      </c>
      <c r="E9" t="s">
        <v>48</v>
      </c>
      <c r="F9">
        <v>3</v>
      </c>
      <c r="K9" t="s">
        <v>50</v>
      </c>
      <c r="L9">
        <v>0.8</v>
      </c>
      <c r="Q9" t="e">
        <f t="shared" si="0"/>
        <v>#DIV/0!</v>
      </c>
      <c r="R9">
        <f>((SQRT((POWER((Tabel15[[#This Row],[A mål]]/2),2)+(POWER((Tabel15[[#This Row],[A mål]]/2),2)))))*(SQRT((POWER((Tabel15[[#This Row],[A mål]]/2),2)+(POWER((Tabel15[[#This Row],[A mål]]/2),2))))))/2</f>
        <v>2.2499999999999996</v>
      </c>
      <c r="S9">
        <f>Tabel15[[#This Row],[Areal snit]]*Tabel15[[#This Row],[Længde svejsning]]</f>
        <v>0</v>
      </c>
      <c r="T9" t="e">
        <f>Tabel15[[#This Row],[Forbrug (WH)]]/Tabel15[[#This Row],[Vol svejsning mm]]</f>
        <v>#DIV/0!</v>
      </c>
    </row>
    <row r="10" spans="1:20" x14ac:dyDescent="0.35">
      <c r="A10">
        <v>6</v>
      </c>
      <c r="C10" t="s">
        <v>47</v>
      </c>
      <c r="E10" t="s">
        <v>48</v>
      </c>
      <c r="F10">
        <v>3</v>
      </c>
      <c r="K10" t="s">
        <v>50</v>
      </c>
      <c r="L10">
        <v>0.8</v>
      </c>
      <c r="Q10" t="e">
        <f t="shared" si="0"/>
        <v>#DIV/0!</v>
      </c>
      <c r="R10">
        <f>((SQRT((POWER((Tabel15[[#This Row],[A mål]]/2),2)+(POWER((Tabel15[[#This Row],[A mål]]/2),2)))))*(SQRT((POWER((Tabel15[[#This Row],[A mål]]/2),2)+(POWER((Tabel15[[#This Row],[A mål]]/2),2))))))/2</f>
        <v>2.2499999999999996</v>
      </c>
      <c r="S10">
        <f>Tabel15[[#This Row],[Areal snit]]*Tabel15[[#This Row],[Længde svejsning]]</f>
        <v>0</v>
      </c>
      <c r="T10" t="e">
        <f>Tabel15[[#This Row],[Forbrug (WH)]]/Tabel15[[#This Row],[Vol svejsning mm]]</f>
        <v>#DIV/0!</v>
      </c>
    </row>
    <row r="11" spans="1:20" x14ac:dyDescent="0.35">
      <c r="A11">
        <v>7</v>
      </c>
      <c r="C11" t="s">
        <v>47</v>
      </c>
      <c r="E11" t="s">
        <v>48</v>
      </c>
      <c r="F11">
        <v>3</v>
      </c>
      <c r="K11" t="s">
        <v>50</v>
      </c>
      <c r="L11">
        <v>0.8</v>
      </c>
      <c r="Q11" t="e">
        <f t="shared" si="0"/>
        <v>#DIV/0!</v>
      </c>
      <c r="R11">
        <f>((SQRT((POWER((Tabel15[[#This Row],[A mål]]/2),2)+(POWER((Tabel15[[#This Row],[A mål]]/2),2)))))*(SQRT((POWER((Tabel15[[#This Row],[A mål]]/2),2)+(POWER((Tabel15[[#This Row],[A mål]]/2),2))))))/2</f>
        <v>2.2499999999999996</v>
      </c>
      <c r="S11">
        <f>Tabel15[[#This Row],[Areal snit]]*Tabel15[[#This Row],[Længde svejsning]]</f>
        <v>0</v>
      </c>
      <c r="T11" t="e">
        <f>Tabel15[[#This Row],[Forbrug (WH)]]/Tabel15[[#This Row],[Vol svejsning mm]]</f>
        <v>#DIV/0!</v>
      </c>
    </row>
    <row r="12" spans="1:20" x14ac:dyDescent="0.35">
      <c r="A12" s="2" t="s">
        <v>58</v>
      </c>
      <c r="B12" s="2"/>
      <c r="C12" s="2" t="s">
        <v>47</v>
      </c>
      <c r="D12" s="2"/>
      <c r="E12" s="2" t="s">
        <v>48</v>
      </c>
      <c r="F12" s="2">
        <v>3</v>
      </c>
      <c r="G12" s="2"/>
      <c r="H12" s="2"/>
      <c r="I12" s="2"/>
      <c r="J12" s="2"/>
      <c r="K12" s="2" t="s">
        <v>50</v>
      </c>
      <c r="L12" s="2">
        <v>0.8</v>
      </c>
      <c r="M12" s="2"/>
      <c r="N12" s="2"/>
      <c r="O12" s="2">
        <f>(O7+O8+O9+O10+O11)/5</f>
        <v>0</v>
      </c>
      <c r="P12" s="2">
        <f>(P7+P8+P9+P10+P11)/5</f>
        <v>0</v>
      </c>
      <c r="Q12" s="2" t="e">
        <f>(Q7+Q8+Q9+Q10+Q11)/5</f>
        <v>#DIV/0!</v>
      </c>
      <c r="R12" s="2">
        <f>((SQRT((POWER((Tabel15[[#This Row],[A mål]]/2),2)+(POWER((Tabel15[[#This Row],[A mål]]/2),2)))))*(SQRT((POWER((Tabel15[[#This Row],[A mål]]/2),2)+(POWER((Tabel15[[#This Row],[A mål]]/2),2))))))/2</f>
        <v>2.2499999999999996</v>
      </c>
      <c r="S12" s="2">
        <f>Tabel15[[#This Row],[Areal snit]]*Tabel15[[#This Row],[Længde svejsning]]</f>
        <v>0</v>
      </c>
      <c r="T12" s="2" t="e">
        <f>Tabel15[[#This Row],[Forbrug (WH)]]/Tabel15[[#This Row],[Vol svejsning mm]]</f>
        <v>#DIV/0!</v>
      </c>
    </row>
    <row r="13" spans="1:20" x14ac:dyDescent="0.35">
      <c r="R13">
        <f>((SQRT((POWER((Tabel15[[#This Row],[A mål]]/2),2)+(POWER((Tabel15[[#This Row],[A mål]]/2),2)))))*(SQRT((POWER((Tabel15[[#This Row],[A mål]]/2),2)+(POWER((Tabel15[[#This Row],[A mål]]/2),2))))))/2</f>
        <v>0</v>
      </c>
      <c r="S13">
        <f>Tabel15[[#This Row],[Areal snit]]*Tabel15[[#This Row],[Længde svejsning]]</f>
        <v>0</v>
      </c>
    </row>
    <row r="14" spans="1:20" x14ac:dyDescent="0.35">
      <c r="A14">
        <v>8</v>
      </c>
      <c r="C14" t="s">
        <v>59</v>
      </c>
      <c r="E14" t="s">
        <v>48</v>
      </c>
      <c r="F14">
        <v>5</v>
      </c>
      <c r="K14" t="s">
        <v>50</v>
      </c>
      <c r="L14">
        <v>0.8</v>
      </c>
      <c r="Q14" t="e">
        <f t="shared" ref="Q14:Q18" si="1">O14/P14</f>
        <v>#DIV/0!</v>
      </c>
      <c r="R14">
        <f>((SQRT((POWER((Tabel15[[#This Row],[A mål]]/2),2)+(POWER((Tabel15[[#This Row],[A mål]]/2),2)))))*(SQRT((POWER((Tabel15[[#This Row],[A mål]]/2),2)+(POWER((Tabel15[[#This Row],[A mål]]/2),2))))))/2</f>
        <v>6.2500000000000009</v>
      </c>
      <c r="S14">
        <f>Tabel15[[#This Row],[Areal snit]]*Tabel15[[#This Row],[Længde svejsning]]</f>
        <v>0</v>
      </c>
      <c r="T14" t="e">
        <f>Tabel15[[#This Row],[Forbrug (WH)]]/Tabel15[[#This Row],[Vol svejsning mm]]</f>
        <v>#DIV/0!</v>
      </c>
    </row>
    <row r="15" spans="1:20" x14ac:dyDescent="0.35">
      <c r="A15">
        <v>9</v>
      </c>
      <c r="C15" t="s">
        <v>59</v>
      </c>
      <c r="E15" t="s">
        <v>48</v>
      </c>
      <c r="F15">
        <v>5</v>
      </c>
      <c r="K15" t="s">
        <v>50</v>
      </c>
      <c r="L15">
        <v>0.8</v>
      </c>
      <c r="Q15" t="e">
        <f t="shared" si="1"/>
        <v>#DIV/0!</v>
      </c>
      <c r="R15">
        <f>((SQRT((POWER((Tabel15[[#This Row],[A mål]]/2),2)+(POWER((Tabel15[[#This Row],[A mål]]/2),2)))))*(SQRT((POWER((Tabel15[[#This Row],[A mål]]/2),2)+(POWER((Tabel15[[#This Row],[A mål]]/2),2))))))/2</f>
        <v>6.2500000000000009</v>
      </c>
      <c r="S15">
        <f>Tabel15[[#This Row],[Areal snit]]*Tabel15[[#This Row],[Længde svejsning]]</f>
        <v>0</v>
      </c>
      <c r="T15" t="e">
        <f>Tabel15[[#This Row],[Forbrug (WH)]]/Tabel15[[#This Row],[Vol svejsning mm]]</f>
        <v>#DIV/0!</v>
      </c>
    </row>
    <row r="16" spans="1:20" x14ac:dyDescent="0.35">
      <c r="A16">
        <v>10</v>
      </c>
      <c r="C16" t="s">
        <v>59</v>
      </c>
      <c r="E16" t="s">
        <v>48</v>
      </c>
      <c r="F16">
        <v>5</v>
      </c>
      <c r="K16" t="s">
        <v>50</v>
      </c>
      <c r="L16">
        <v>0.8</v>
      </c>
      <c r="Q16" t="e">
        <f t="shared" si="1"/>
        <v>#DIV/0!</v>
      </c>
      <c r="R16">
        <f>((SQRT((POWER((Tabel15[[#This Row],[A mål]]/2),2)+(POWER((Tabel15[[#This Row],[A mål]]/2),2)))))*(SQRT((POWER((Tabel15[[#This Row],[A mål]]/2),2)+(POWER((Tabel15[[#This Row],[A mål]]/2),2))))))/2</f>
        <v>6.2500000000000009</v>
      </c>
      <c r="S16">
        <f>Tabel15[[#This Row],[Areal snit]]*Tabel15[[#This Row],[Længde svejsning]]</f>
        <v>0</v>
      </c>
      <c r="T16" t="e">
        <f>Tabel15[[#This Row],[Forbrug (WH)]]/Tabel15[[#This Row],[Vol svejsning mm]]</f>
        <v>#DIV/0!</v>
      </c>
    </row>
    <row r="17" spans="1:20" x14ac:dyDescent="0.35">
      <c r="A17">
        <v>11</v>
      </c>
      <c r="C17" t="s">
        <v>59</v>
      </c>
      <c r="E17" t="s">
        <v>48</v>
      </c>
      <c r="F17">
        <v>5</v>
      </c>
      <c r="K17" t="s">
        <v>50</v>
      </c>
      <c r="L17">
        <v>0.8</v>
      </c>
      <c r="Q17" t="e">
        <f t="shared" si="1"/>
        <v>#DIV/0!</v>
      </c>
      <c r="R17">
        <f>((SQRT((POWER((Tabel15[[#This Row],[A mål]]/2),2)+(POWER((Tabel15[[#This Row],[A mål]]/2),2)))))*(SQRT((POWER((Tabel15[[#This Row],[A mål]]/2),2)+(POWER((Tabel15[[#This Row],[A mål]]/2),2))))))/2</f>
        <v>6.2500000000000009</v>
      </c>
      <c r="S17">
        <f>Tabel15[[#This Row],[Areal snit]]*Tabel15[[#This Row],[Længde svejsning]]</f>
        <v>0</v>
      </c>
      <c r="T17" t="e">
        <f>Tabel15[[#This Row],[Forbrug (WH)]]/Tabel15[[#This Row],[Vol svejsning mm]]</f>
        <v>#DIV/0!</v>
      </c>
    </row>
    <row r="18" spans="1:20" x14ac:dyDescent="0.35">
      <c r="A18">
        <v>12</v>
      </c>
      <c r="C18" t="s">
        <v>59</v>
      </c>
      <c r="E18" t="s">
        <v>48</v>
      </c>
      <c r="F18">
        <v>5</v>
      </c>
      <c r="K18" t="s">
        <v>50</v>
      </c>
      <c r="L18">
        <v>0.8</v>
      </c>
      <c r="Q18" t="e">
        <f t="shared" si="1"/>
        <v>#DIV/0!</v>
      </c>
      <c r="R18">
        <f>((SQRT((POWER((Tabel15[[#This Row],[A mål]]/2),2)+(POWER((Tabel15[[#This Row],[A mål]]/2),2)))))*(SQRT((POWER((Tabel15[[#This Row],[A mål]]/2),2)+(POWER((Tabel15[[#This Row],[A mål]]/2),2))))))/2</f>
        <v>6.2500000000000009</v>
      </c>
      <c r="S18">
        <f>Tabel15[[#This Row],[Areal snit]]*Tabel15[[#This Row],[Længde svejsning]]</f>
        <v>0</v>
      </c>
      <c r="T18" t="e">
        <f>Tabel15[[#This Row],[Forbrug (WH)]]/Tabel15[[#This Row],[Vol svejsning mm]]</f>
        <v>#DIV/0!</v>
      </c>
    </row>
    <row r="19" spans="1:20" x14ac:dyDescent="0.35">
      <c r="A19" s="2" t="s">
        <v>58</v>
      </c>
      <c r="B19" s="2"/>
      <c r="C19" s="2" t="s">
        <v>59</v>
      </c>
      <c r="D19" s="2"/>
      <c r="E19" s="2" t="s">
        <v>48</v>
      </c>
      <c r="F19" s="2">
        <v>5</v>
      </c>
      <c r="G19" s="2"/>
      <c r="H19" s="2"/>
      <c r="I19" s="2"/>
      <c r="J19" s="2"/>
      <c r="K19" s="2" t="s">
        <v>50</v>
      </c>
      <c r="L19" s="2">
        <v>0.8</v>
      </c>
      <c r="M19" s="2"/>
      <c r="N19" s="2"/>
      <c r="O19" s="2">
        <f>(O14+O15+O16+O17+O18)/5</f>
        <v>0</v>
      </c>
      <c r="P19" s="2">
        <f>(P14+P15+P16+P17+P18)/5</f>
        <v>0</v>
      </c>
      <c r="Q19" s="2" t="e">
        <f>(Q14+Q15+Q16+Q17+Q18)/5</f>
        <v>#DIV/0!</v>
      </c>
      <c r="R19" s="2">
        <f>((SQRT((POWER((Tabel15[[#This Row],[A mål]]/2),2)+(POWER((Tabel15[[#This Row],[A mål]]/2),2)))))*(SQRT((POWER((Tabel15[[#This Row],[A mål]]/2),2)+(POWER((Tabel15[[#This Row],[A mål]]/2),2))))))/2</f>
        <v>6.2500000000000009</v>
      </c>
      <c r="S19" s="2">
        <f>Tabel15[[#This Row],[Areal snit]]*Tabel15[[#This Row],[Længde svejsning]]</f>
        <v>0</v>
      </c>
      <c r="T19" s="2" t="e">
        <f>Tabel15[[#This Row],[Forbrug (WH)]]/Tabel15[[#This Row],[Vol svejsning mm]]</f>
        <v>#DIV/0!</v>
      </c>
    </row>
  </sheetData>
  <mergeCells count="1">
    <mergeCell ref="C1:N2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EDFB-365E-4401-915B-481035708AF9}">
  <sheetPr codeName="Ark9"/>
  <dimension ref="A1:T19"/>
  <sheetViews>
    <sheetView topLeftCell="F1" workbookViewId="0">
      <selection activeCell="A5" sqref="A5:T19"/>
    </sheetView>
  </sheetViews>
  <sheetFormatPr defaultRowHeight="14.5" x14ac:dyDescent="0.35"/>
  <cols>
    <col min="1" max="2" width="8.7265625" bestFit="1" customWidth="1"/>
    <col min="3" max="3" width="19" bestFit="1" customWidth="1"/>
    <col min="4" max="4" width="18.26953125" bestFit="1" customWidth="1"/>
    <col min="5" max="5" width="16.453125" bestFit="1" customWidth="1"/>
    <col min="6" max="6" width="8" bestFit="1" customWidth="1"/>
    <col min="7" max="7" width="15.7265625" bestFit="1" customWidth="1"/>
    <col min="8" max="8" width="19" bestFit="1" customWidth="1"/>
    <col min="9" max="9" width="23.81640625" bestFit="1" customWidth="1"/>
    <col min="10" max="10" width="6.7265625" bestFit="1" customWidth="1"/>
    <col min="11" max="11" width="10.7265625" bestFit="1" customWidth="1"/>
    <col min="12" max="12" width="16.26953125" bestFit="1" customWidth="1"/>
    <col min="13" max="13" width="10" bestFit="1" customWidth="1"/>
    <col min="14" max="14" width="13.26953125" bestFit="1" customWidth="1"/>
    <col min="15" max="15" width="14.54296875" bestFit="1" customWidth="1"/>
    <col min="17" max="17" width="12" bestFit="1" customWidth="1"/>
    <col min="18" max="18" width="11" bestFit="1" customWidth="1"/>
    <col min="19" max="19" width="18.1796875" bestFit="1" customWidth="1"/>
    <col min="20" max="20" width="16.81640625" bestFit="1" customWidth="1"/>
  </cols>
  <sheetData>
    <row r="1" spans="1:20" x14ac:dyDescent="0.35">
      <c r="C1" s="45" t="s">
        <v>76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1:20" x14ac:dyDescent="0.35"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4" spans="1:20" x14ac:dyDescent="0.35">
      <c r="A4" t="s">
        <v>21</v>
      </c>
      <c r="B4" t="s">
        <v>22</v>
      </c>
      <c r="C4" t="s">
        <v>23</v>
      </c>
      <c r="D4" t="s">
        <v>24</v>
      </c>
      <c r="E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37</v>
      </c>
      <c r="Q4" t="s">
        <v>38</v>
      </c>
      <c r="R4" t="s">
        <v>39</v>
      </c>
      <c r="S4" t="s">
        <v>40</v>
      </c>
      <c r="T4" t="s">
        <v>41</v>
      </c>
    </row>
    <row r="5" spans="1:20" x14ac:dyDescent="0.35">
      <c r="A5" s="1">
        <v>1</v>
      </c>
      <c r="B5" s="1"/>
      <c r="C5" s="1" t="s">
        <v>47</v>
      </c>
      <c r="D5" s="1"/>
      <c r="E5" s="1" t="s">
        <v>48</v>
      </c>
      <c r="F5" s="1">
        <v>3</v>
      </c>
      <c r="G5" s="1"/>
      <c r="H5" s="1"/>
      <c r="I5" s="1"/>
      <c r="J5" s="1"/>
      <c r="K5" s="1" t="s">
        <v>50</v>
      </c>
      <c r="L5" s="1">
        <v>0.8</v>
      </c>
      <c r="M5" s="1"/>
      <c r="N5" s="1"/>
      <c r="O5" s="1"/>
      <c r="P5" s="1"/>
      <c r="Q5" s="1"/>
      <c r="R5" s="1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5" s="1">
        <f>Tabel159[[#This Row],[Areal snit]]*Tabel159[[#This Row],[Længde svejsning]]</f>
        <v>0</v>
      </c>
      <c r="T5" s="1" t="e">
        <f>Tabel159[[#This Row],[Forbrug (WH)]]/Tabel159[[#This Row],[Vol svejsning mm]]</f>
        <v>#DIV/0!</v>
      </c>
    </row>
    <row r="6" spans="1:20" x14ac:dyDescent="0.35">
      <c r="A6" s="1">
        <v>2</v>
      </c>
      <c r="B6" s="1"/>
      <c r="C6" s="1" t="s">
        <v>47</v>
      </c>
      <c r="D6" s="1"/>
      <c r="E6" s="1" t="s">
        <v>48</v>
      </c>
      <c r="F6" s="1">
        <v>3</v>
      </c>
      <c r="G6" s="1"/>
      <c r="H6" s="1"/>
      <c r="I6" s="1"/>
      <c r="J6" s="1"/>
      <c r="K6" s="1" t="s">
        <v>50</v>
      </c>
      <c r="L6" s="1">
        <v>0.8</v>
      </c>
      <c r="M6" s="1"/>
      <c r="N6" s="1"/>
      <c r="O6" s="1"/>
      <c r="P6" s="1"/>
      <c r="Q6" s="1" t="e">
        <f t="shared" ref="Q6:Q11" si="0">O6/P6</f>
        <v>#DIV/0!</v>
      </c>
      <c r="R6" s="1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6" s="1">
        <f>Tabel159[[#This Row],[Areal snit]]*Tabel159[[#This Row],[Længde svejsning]]</f>
        <v>0</v>
      </c>
      <c r="T6" s="1" t="e">
        <f>Tabel159[[#This Row],[Forbrug (WH)]]/Tabel159[[#This Row],[Vol svejsning mm]]</f>
        <v>#DIV/0!</v>
      </c>
    </row>
    <row r="7" spans="1:20" x14ac:dyDescent="0.35">
      <c r="A7">
        <v>3</v>
      </c>
      <c r="C7" t="s">
        <v>47</v>
      </c>
      <c r="E7" t="s">
        <v>48</v>
      </c>
      <c r="F7">
        <v>3</v>
      </c>
      <c r="K7" t="s">
        <v>50</v>
      </c>
      <c r="L7">
        <v>0.8</v>
      </c>
      <c r="Q7" t="e">
        <f t="shared" si="0"/>
        <v>#DIV/0!</v>
      </c>
      <c r="R7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7">
        <f>Tabel159[[#This Row],[Areal snit]]*Tabel159[[#This Row],[Længde svejsning]]</f>
        <v>0</v>
      </c>
      <c r="T7" t="e">
        <f>Tabel159[[#This Row],[Forbrug (WH)]]/Tabel159[[#This Row],[Vol svejsning mm]]</f>
        <v>#DIV/0!</v>
      </c>
    </row>
    <row r="8" spans="1:20" x14ac:dyDescent="0.35">
      <c r="A8">
        <v>4</v>
      </c>
      <c r="C8" t="s">
        <v>47</v>
      </c>
      <c r="E8" t="s">
        <v>48</v>
      </c>
      <c r="F8">
        <v>3</v>
      </c>
      <c r="K8" t="s">
        <v>50</v>
      </c>
      <c r="L8">
        <v>0.8</v>
      </c>
      <c r="Q8" t="e">
        <f t="shared" si="0"/>
        <v>#DIV/0!</v>
      </c>
      <c r="R8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8">
        <f>Tabel159[[#This Row],[Areal snit]]*Tabel159[[#This Row],[Længde svejsning]]</f>
        <v>0</v>
      </c>
      <c r="T8" t="e">
        <f>Tabel159[[#This Row],[Forbrug (WH)]]/Tabel159[[#This Row],[Vol svejsning mm]]</f>
        <v>#DIV/0!</v>
      </c>
    </row>
    <row r="9" spans="1:20" x14ac:dyDescent="0.35">
      <c r="A9">
        <v>5</v>
      </c>
      <c r="C9" t="s">
        <v>47</v>
      </c>
      <c r="E9" t="s">
        <v>48</v>
      </c>
      <c r="F9">
        <v>3</v>
      </c>
      <c r="K9" t="s">
        <v>50</v>
      </c>
      <c r="L9">
        <v>0.8</v>
      </c>
      <c r="Q9" t="e">
        <f t="shared" si="0"/>
        <v>#DIV/0!</v>
      </c>
      <c r="R9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9">
        <f>Tabel159[[#This Row],[Areal snit]]*Tabel159[[#This Row],[Længde svejsning]]</f>
        <v>0</v>
      </c>
      <c r="T9" t="e">
        <f>Tabel159[[#This Row],[Forbrug (WH)]]/Tabel159[[#This Row],[Vol svejsning mm]]</f>
        <v>#DIV/0!</v>
      </c>
    </row>
    <row r="10" spans="1:20" x14ac:dyDescent="0.35">
      <c r="A10">
        <v>6</v>
      </c>
      <c r="C10" t="s">
        <v>47</v>
      </c>
      <c r="E10" t="s">
        <v>48</v>
      </c>
      <c r="F10">
        <v>3</v>
      </c>
      <c r="K10" t="s">
        <v>50</v>
      </c>
      <c r="L10">
        <v>0.8</v>
      </c>
      <c r="Q10" t="e">
        <f t="shared" si="0"/>
        <v>#DIV/0!</v>
      </c>
      <c r="R10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10">
        <f>Tabel159[[#This Row],[Areal snit]]*Tabel159[[#This Row],[Længde svejsning]]</f>
        <v>0</v>
      </c>
      <c r="T10" t="e">
        <f>Tabel159[[#This Row],[Forbrug (WH)]]/Tabel159[[#This Row],[Vol svejsning mm]]</f>
        <v>#DIV/0!</v>
      </c>
    </row>
    <row r="11" spans="1:20" x14ac:dyDescent="0.35">
      <c r="A11">
        <v>7</v>
      </c>
      <c r="C11" t="s">
        <v>47</v>
      </c>
      <c r="E11" t="s">
        <v>48</v>
      </c>
      <c r="F11">
        <v>3</v>
      </c>
      <c r="K11" t="s">
        <v>50</v>
      </c>
      <c r="L11">
        <v>0.8</v>
      </c>
      <c r="Q11" t="e">
        <f t="shared" si="0"/>
        <v>#DIV/0!</v>
      </c>
      <c r="R11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11">
        <f>Tabel159[[#This Row],[Areal snit]]*Tabel159[[#This Row],[Længde svejsning]]</f>
        <v>0</v>
      </c>
      <c r="T11" t="e">
        <f>Tabel159[[#This Row],[Forbrug (WH)]]/Tabel159[[#This Row],[Vol svejsning mm]]</f>
        <v>#DIV/0!</v>
      </c>
    </row>
    <row r="12" spans="1:20" x14ac:dyDescent="0.35">
      <c r="A12" s="2" t="s">
        <v>58</v>
      </c>
      <c r="B12" s="2"/>
      <c r="C12" s="2" t="s">
        <v>47</v>
      </c>
      <c r="D12" s="2"/>
      <c r="E12" s="2" t="s">
        <v>48</v>
      </c>
      <c r="F12" s="2">
        <v>3</v>
      </c>
      <c r="G12" s="2"/>
      <c r="H12" s="2"/>
      <c r="I12" s="2"/>
      <c r="J12" s="2"/>
      <c r="K12" s="2" t="s">
        <v>50</v>
      </c>
      <c r="L12" s="2">
        <v>0.8</v>
      </c>
      <c r="M12" s="2"/>
      <c r="N12" s="2"/>
      <c r="O12" s="2">
        <f>(O7+O8+O9+O10+O11)/5</f>
        <v>0</v>
      </c>
      <c r="P12" s="2">
        <f>(P7+P8+P9+P10+P11)/5</f>
        <v>0</v>
      </c>
      <c r="Q12" s="2" t="e">
        <f>(Q7+Q8+Q9+Q10+Q11)/5</f>
        <v>#DIV/0!</v>
      </c>
      <c r="R12" s="2">
        <f>((SQRT((POWER((Tabel159[[#This Row],[A mål]]/2),2)+(POWER((Tabel159[[#This Row],[A mål]]/2),2)))))*(SQRT((POWER((Tabel159[[#This Row],[A mål]]/2),2)+(POWER((Tabel159[[#This Row],[A mål]]/2),2))))))/2</f>
        <v>2.2499999999999996</v>
      </c>
      <c r="S12" s="2">
        <f>Tabel159[[#This Row],[Areal snit]]*Tabel159[[#This Row],[Længde svejsning]]</f>
        <v>0</v>
      </c>
      <c r="T12" s="2" t="e">
        <f>Tabel159[[#This Row],[Forbrug (WH)]]/Tabel159[[#This Row],[Vol svejsning mm]]</f>
        <v>#DIV/0!</v>
      </c>
    </row>
    <row r="13" spans="1:20" x14ac:dyDescent="0.35">
      <c r="R13">
        <f>((SQRT((POWER((Tabel159[[#This Row],[A mål]]/2),2)+(POWER((Tabel159[[#This Row],[A mål]]/2),2)))))*(SQRT((POWER((Tabel159[[#This Row],[A mål]]/2),2)+(POWER((Tabel159[[#This Row],[A mål]]/2),2))))))/2</f>
        <v>0</v>
      </c>
      <c r="S13">
        <f>Tabel159[[#This Row],[Areal snit]]*Tabel159[[#This Row],[Længde svejsning]]</f>
        <v>0</v>
      </c>
    </row>
    <row r="14" spans="1:20" x14ac:dyDescent="0.35">
      <c r="A14">
        <v>8</v>
      </c>
      <c r="C14" t="s">
        <v>59</v>
      </c>
      <c r="E14" t="s">
        <v>48</v>
      </c>
      <c r="F14">
        <v>5</v>
      </c>
      <c r="K14" t="s">
        <v>50</v>
      </c>
      <c r="L14">
        <v>0.8</v>
      </c>
      <c r="Q14" t="e">
        <f t="shared" ref="Q14:Q18" si="1">O14/P14</f>
        <v>#DIV/0!</v>
      </c>
      <c r="R14">
        <f>((SQRT((POWER((Tabel159[[#This Row],[A mål]]/2),2)+(POWER((Tabel159[[#This Row],[A mål]]/2),2)))))*(SQRT((POWER((Tabel159[[#This Row],[A mål]]/2),2)+(POWER((Tabel159[[#This Row],[A mål]]/2),2))))))/2</f>
        <v>6.2500000000000009</v>
      </c>
      <c r="S14">
        <f>Tabel159[[#This Row],[Areal snit]]*Tabel159[[#This Row],[Længde svejsning]]</f>
        <v>0</v>
      </c>
      <c r="T14" t="e">
        <f>Tabel159[[#This Row],[Forbrug (WH)]]/Tabel159[[#This Row],[Vol svejsning mm]]</f>
        <v>#DIV/0!</v>
      </c>
    </row>
    <row r="15" spans="1:20" x14ac:dyDescent="0.35">
      <c r="A15">
        <v>9</v>
      </c>
      <c r="C15" t="s">
        <v>59</v>
      </c>
      <c r="E15" t="s">
        <v>48</v>
      </c>
      <c r="F15">
        <v>5</v>
      </c>
      <c r="K15" t="s">
        <v>50</v>
      </c>
      <c r="L15">
        <v>0.8</v>
      </c>
      <c r="Q15" t="e">
        <f t="shared" si="1"/>
        <v>#DIV/0!</v>
      </c>
      <c r="R15">
        <f>((SQRT((POWER((Tabel159[[#This Row],[A mål]]/2),2)+(POWER((Tabel159[[#This Row],[A mål]]/2),2)))))*(SQRT((POWER((Tabel159[[#This Row],[A mål]]/2),2)+(POWER((Tabel159[[#This Row],[A mål]]/2),2))))))/2</f>
        <v>6.2500000000000009</v>
      </c>
      <c r="S15">
        <f>Tabel159[[#This Row],[Areal snit]]*Tabel159[[#This Row],[Længde svejsning]]</f>
        <v>0</v>
      </c>
      <c r="T15" t="e">
        <f>Tabel159[[#This Row],[Forbrug (WH)]]/Tabel159[[#This Row],[Vol svejsning mm]]</f>
        <v>#DIV/0!</v>
      </c>
    </row>
    <row r="16" spans="1:20" x14ac:dyDescent="0.35">
      <c r="A16">
        <v>10</v>
      </c>
      <c r="C16" t="s">
        <v>59</v>
      </c>
      <c r="E16" t="s">
        <v>48</v>
      </c>
      <c r="F16">
        <v>5</v>
      </c>
      <c r="K16" t="s">
        <v>50</v>
      </c>
      <c r="L16">
        <v>0.8</v>
      </c>
      <c r="Q16" t="e">
        <f t="shared" si="1"/>
        <v>#DIV/0!</v>
      </c>
      <c r="R16">
        <f>((SQRT((POWER((Tabel159[[#This Row],[A mål]]/2),2)+(POWER((Tabel159[[#This Row],[A mål]]/2),2)))))*(SQRT((POWER((Tabel159[[#This Row],[A mål]]/2),2)+(POWER((Tabel159[[#This Row],[A mål]]/2),2))))))/2</f>
        <v>6.2500000000000009</v>
      </c>
      <c r="S16">
        <f>Tabel159[[#This Row],[Areal snit]]*Tabel159[[#This Row],[Længde svejsning]]</f>
        <v>0</v>
      </c>
      <c r="T16" t="e">
        <f>Tabel159[[#This Row],[Forbrug (WH)]]/Tabel159[[#This Row],[Vol svejsning mm]]</f>
        <v>#DIV/0!</v>
      </c>
    </row>
    <row r="17" spans="1:20" x14ac:dyDescent="0.35">
      <c r="A17">
        <v>11</v>
      </c>
      <c r="C17" t="s">
        <v>59</v>
      </c>
      <c r="E17" t="s">
        <v>48</v>
      </c>
      <c r="F17">
        <v>5</v>
      </c>
      <c r="K17" t="s">
        <v>50</v>
      </c>
      <c r="L17">
        <v>0.8</v>
      </c>
      <c r="Q17" t="e">
        <f t="shared" si="1"/>
        <v>#DIV/0!</v>
      </c>
      <c r="R17">
        <f>((SQRT((POWER((Tabel159[[#This Row],[A mål]]/2),2)+(POWER((Tabel159[[#This Row],[A mål]]/2),2)))))*(SQRT((POWER((Tabel159[[#This Row],[A mål]]/2),2)+(POWER((Tabel159[[#This Row],[A mål]]/2),2))))))/2</f>
        <v>6.2500000000000009</v>
      </c>
      <c r="S17">
        <f>Tabel159[[#This Row],[Areal snit]]*Tabel159[[#This Row],[Længde svejsning]]</f>
        <v>0</v>
      </c>
      <c r="T17" t="e">
        <f>Tabel159[[#This Row],[Forbrug (WH)]]/Tabel159[[#This Row],[Vol svejsning mm]]</f>
        <v>#DIV/0!</v>
      </c>
    </row>
    <row r="18" spans="1:20" x14ac:dyDescent="0.35">
      <c r="A18">
        <v>12</v>
      </c>
      <c r="C18" t="s">
        <v>59</v>
      </c>
      <c r="E18" t="s">
        <v>48</v>
      </c>
      <c r="F18">
        <v>5</v>
      </c>
      <c r="K18" t="s">
        <v>50</v>
      </c>
      <c r="L18">
        <v>0.8</v>
      </c>
      <c r="Q18" t="e">
        <f t="shared" si="1"/>
        <v>#DIV/0!</v>
      </c>
      <c r="R18">
        <f>((SQRT((POWER((Tabel159[[#This Row],[A mål]]/2),2)+(POWER((Tabel159[[#This Row],[A mål]]/2),2)))))*(SQRT((POWER((Tabel159[[#This Row],[A mål]]/2),2)+(POWER((Tabel159[[#This Row],[A mål]]/2),2))))))/2</f>
        <v>6.2500000000000009</v>
      </c>
      <c r="S18">
        <f>Tabel159[[#This Row],[Areal snit]]*Tabel159[[#This Row],[Længde svejsning]]</f>
        <v>0</v>
      </c>
      <c r="T18" t="e">
        <f>Tabel159[[#This Row],[Forbrug (WH)]]/Tabel159[[#This Row],[Vol svejsning mm]]</f>
        <v>#DIV/0!</v>
      </c>
    </row>
    <row r="19" spans="1:20" x14ac:dyDescent="0.35">
      <c r="A19" s="2" t="s">
        <v>58</v>
      </c>
      <c r="B19" s="2"/>
      <c r="C19" s="2" t="s">
        <v>59</v>
      </c>
      <c r="D19" s="2"/>
      <c r="E19" s="2" t="s">
        <v>48</v>
      </c>
      <c r="F19" s="2">
        <v>5</v>
      </c>
      <c r="G19" s="2"/>
      <c r="H19" s="2"/>
      <c r="I19" s="2"/>
      <c r="J19" s="2"/>
      <c r="K19" s="2" t="s">
        <v>50</v>
      </c>
      <c r="L19" s="2">
        <v>0.8</v>
      </c>
      <c r="M19" s="2"/>
      <c r="N19" s="2"/>
      <c r="O19" s="2">
        <f>(O14+O15+O16+O17+O18)/5</f>
        <v>0</v>
      </c>
      <c r="P19" s="2">
        <f>(P14+P15+P16+P17+P18)/5</f>
        <v>0</v>
      </c>
      <c r="Q19" s="2" t="e">
        <f>(Q14+Q15+Q16+Q17+Q18)/5</f>
        <v>#DIV/0!</v>
      </c>
      <c r="R19" s="2">
        <f>((SQRT((POWER((Tabel159[[#This Row],[A mål]]/2),2)+(POWER((Tabel159[[#This Row],[A mål]]/2),2)))))*(SQRT((POWER((Tabel159[[#This Row],[A mål]]/2),2)+(POWER((Tabel159[[#This Row],[A mål]]/2),2))))))/2</f>
        <v>6.2500000000000009</v>
      </c>
      <c r="S19" s="2">
        <f>Tabel159[[#This Row],[Areal snit]]*Tabel159[[#This Row],[Længde svejsning]]</f>
        <v>0</v>
      </c>
      <c r="T19" s="2" t="e">
        <f>Tabel159[[#This Row],[Forbrug (WH)]]/Tabel159[[#This Row],[Vol svejsning mm]]</f>
        <v>#DIV/0!</v>
      </c>
    </row>
  </sheetData>
  <mergeCells count="1">
    <mergeCell ref="C1:N2"/>
  </mergeCells>
  <pageMargins left="0.7" right="0.7" top="0.75" bottom="0.75" header="0.3" footer="0.3"/>
  <drawing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6396D106D5DC42937780DE3277D2CA" ma:contentTypeVersion="15" ma:contentTypeDescription="Opret et nyt dokument." ma:contentTypeScope="" ma:versionID="568453d1df60bb358abe5fe15bfffbf1">
  <xsd:schema xmlns:xsd="http://www.w3.org/2001/XMLSchema" xmlns:xs="http://www.w3.org/2001/XMLSchema" xmlns:p="http://schemas.microsoft.com/office/2006/metadata/properties" xmlns:ns2="ab6251c1-e16a-476d-adc0-e1d3c1172365" xmlns:ns3="25496e29-3fa8-41b1-8744-ad3f8dfa7996" targetNamespace="http://schemas.microsoft.com/office/2006/metadata/properties" ma:root="true" ma:fieldsID="5c2224a0e09f570510813ed5c72f4a01" ns2:_="" ns3:_="">
    <xsd:import namespace="ab6251c1-e16a-476d-adc0-e1d3c1172365"/>
    <xsd:import namespace="25496e29-3fa8-41b1-8744-ad3f8dfa79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6251c1-e16a-476d-adc0-e1d3c11723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3273e385-a8b0-4d51-8803-6e97695cb93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96e29-3fa8-41b1-8744-ad3f8dfa799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7b777f8-5290-4c29-b3a0-26f6c036e301}" ma:internalName="TaxCatchAll" ma:showField="CatchAllData" ma:web="25496e29-3fa8-41b1-8744-ad3f8dfa79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b6251c1-e16a-476d-adc0-e1d3c1172365">
      <Terms xmlns="http://schemas.microsoft.com/office/infopath/2007/PartnerControls"/>
    </lcf76f155ced4ddcb4097134ff3c332f>
    <TaxCatchAll xmlns="25496e29-3fa8-41b1-8744-ad3f8dfa799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A27E176-FA50-45E0-AF05-7CB74EF79E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6251c1-e16a-476d-adc0-e1d3c1172365"/>
    <ds:schemaRef ds:uri="25496e29-3fa8-41b1-8744-ad3f8dfa79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54095F-51B9-4147-8AD1-77FC3E8D16D6}">
  <ds:schemaRefs>
    <ds:schemaRef ds:uri="http://schemas.microsoft.com/office/2006/metadata/properties"/>
    <ds:schemaRef ds:uri="http://schemas.microsoft.com/office/infopath/2007/PartnerControls"/>
    <ds:schemaRef ds:uri="ab6251c1-e16a-476d-adc0-e1d3c1172365"/>
    <ds:schemaRef ds:uri="25496e29-3fa8-41b1-8744-ad3f8dfa7996"/>
  </ds:schemaRefs>
</ds:datastoreItem>
</file>

<file path=customXml/itemProps3.xml><?xml version="1.0" encoding="utf-8"?>
<ds:datastoreItem xmlns:ds="http://schemas.openxmlformats.org/officeDocument/2006/customXml" ds:itemID="{D0BBA7E6-EE65-482E-A143-F0478D12963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29427a-4ed3-4f0e-a3ff-ced1342f64ac}" enabled="0" method="" siteId="{1b29427a-4ed3-4f0e-a3ff-ced1342f64a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19</vt:i4>
      </vt:variant>
    </vt:vector>
  </HeadingPairs>
  <TitlesOfParts>
    <vt:vector size="33" baseType="lpstr">
      <vt:lpstr>Vejledning tilføj data</vt:lpstr>
      <vt:lpstr>Data samling svejsning</vt:lpstr>
      <vt:lpstr>Svejse Effekforbrug Graf</vt:lpstr>
      <vt:lpstr>Kemppi Promig 530 - Pro 3200 ev</vt:lpstr>
      <vt:lpstr>Kemppi Master M205</vt:lpstr>
      <vt:lpstr>TIG-Migatronic PI 250</vt:lpstr>
      <vt:lpstr>Kemppi MasterTig 235</vt:lpstr>
      <vt:lpstr>Ark2</vt:lpstr>
      <vt:lpstr>Ark3</vt:lpstr>
      <vt:lpstr>Hypotherm Powermax 105</vt:lpstr>
      <vt:lpstr>HM WKS 125050</vt:lpstr>
      <vt:lpstr>Laserskærer</vt:lpstr>
      <vt:lpstr>HydKlip HMS 30.06</vt:lpstr>
      <vt:lpstr>Beregner og nøgletal Wh pr mm</vt:lpstr>
      <vt:lpstr>Elektrode</vt:lpstr>
      <vt:lpstr>ElektrodeKemppiMasterTig235</vt:lpstr>
      <vt:lpstr>ElektrodeMigatronicPI250</vt:lpstr>
      <vt:lpstr>Elektromekanisk_pladesaks</vt:lpstr>
      <vt:lpstr>Hydraulisk_pladesaks</vt:lpstr>
      <vt:lpstr>Laserskærer</vt:lpstr>
      <vt:lpstr>MAG</vt:lpstr>
      <vt:lpstr>MAGMassivTråd</vt:lpstr>
      <vt:lpstr>MAGMassivTrådKemppiMasterM205</vt:lpstr>
      <vt:lpstr>MAGMassivTrådKemppiPromig530Pro3200ev</vt:lpstr>
      <vt:lpstr>MMA</vt:lpstr>
      <vt:lpstr>Pladeafkortning</vt:lpstr>
      <vt:lpstr>Plasmaskærer</vt:lpstr>
      <vt:lpstr>procesberegner</vt:lpstr>
      <vt:lpstr>procespyramide</vt:lpstr>
      <vt:lpstr>Svejsning</vt:lpstr>
      <vt:lpstr>TIG</vt:lpstr>
      <vt:lpstr>TIGKemppiMasterTig235</vt:lpstr>
      <vt:lpstr>TIGMigatronicPI250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Ruben Hyldgaard Rolighed</dc:creator>
  <cp:keywords/>
  <dc:description/>
  <cp:lastModifiedBy>Lars Jensen</cp:lastModifiedBy>
  <cp:revision/>
  <dcterms:created xsi:type="dcterms:W3CDTF">2024-05-16T12:09:17Z</dcterms:created>
  <dcterms:modified xsi:type="dcterms:W3CDTF">2025-04-10T06:53:20Z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0x010100816396D106D5DC42937780DE3277D2CA</vt:lpwstr>
  </property>
  <property fmtid="{D5CDD505-2E9C-101B-9397-08002B2CF9AE}" pid="3" name="MediaServiceImageTags">
    <vt:lpwstr/>
  </property>
</Properties>
</file>